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8505"/>
  </bookViews>
  <sheets>
    <sheet name="Final Calculations ddPCR" sheetId="2" r:id="rId1"/>
  </sheets>
  <calcPr calcId="125725"/>
</workbook>
</file>

<file path=xl/calcChain.xml><?xml version="1.0" encoding="utf-8"?>
<calcChain xmlns="http://schemas.openxmlformats.org/spreadsheetml/2006/main">
  <c r="F152" i="2"/>
  <c r="D152"/>
  <c r="F154"/>
  <c r="G154" s="1"/>
  <c r="D154"/>
  <c r="B154"/>
  <c r="F153"/>
  <c r="G153" s="1"/>
  <c r="D153"/>
  <c r="B153"/>
  <c r="G152"/>
  <c r="B152"/>
  <c r="G166"/>
  <c r="G167"/>
  <c r="G168"/>
  <c r="G169"/>
  <c r="G170"/>
  <c r="G165"/>
  <c r="G158"/>
  <c r="G159"/>
  <c r="G160"/>
  <c r="G161"/>
  <c r="G162"/>
  <c r="G157"/>
  <c r="B100"/>
  <c r="D100"/>
  <c r="F100"/>
  <c r="G100" s="1"/>
  <c r="H165" l="1"/>
  <c r="I167" s="1"/>
  <c r="J167" s="1"/>
  <c r="K167" s="1"/>
  <c r="N167" s="1"/>
  <c r="H157"/>
  <c r="I158" s="1"/>
  <c r="J158" s="1"/>
  <c r="K158" s="1"/>
  <c r="N158" s="1"/>
  <c r="H160"/>
  <c r="I161" s="1"/>
  <c r="J161" s="1"/>
  <c r="K161" s="1"/>
  <c r="N161" s="1"/>
  <c r="H168"/>
  <c r="I168" s="1"/>
  <c r="J168" s="1"/>
  <c r="K168" s="1"/>
  <c r="N168" s="1"/>
  <c r="H152"/>
  <c r="I152" s="1"/>
  <c r="J152" s="1"/>
  <c r="K152" s="1"/>
  <c r="N152" s="1"/>
  <c r="D4"/>
  <c r="I157" l="1"/>
  <c r="J157" s="1"/>
  <c r="K157" s="1"/>
  <c r="N157" s="1"/>
  <c r="I160"/>
  <c r="J160" s="1"/>
  <c r="K160" s="1"/>
  <c r="N160" s="1"/>
  <c r="I165"/>
  <c r="J165" s="1"/>
  <c r="K165" s="1"/>
  <c r="N165" s="1"/>
  <c r="I162"/>
  <c r="J162" s="1"/>
  <c r="K162" s="1"/>
  <c r="N162" s="1"/>
  <c r="I166"/>
  <c r="J166" s="1"/>
  <c r="K166" s="1"/>
  <c r="N166" s="1"/>
  <c r="I159"/>
  <c r="J159" s="1"/>
  <c r="K159" s="1"/>
  <c r="N159" s="1"/>
  <c r="I169"/>
  <c r="J169" s="1"/>
  <c r="K169" s="1"/>
  <c r="N169" s="1"/>
  <c r="I170"/>
  <c r="J170" s="1"/>
  <c r="K170" s="1"/>
  <c r="N170" s="1"/>
  <c r="I154"/>
  <c r="J154" s="1"/>
  <c r="K154" s="1"/>
  <c r="N154" s="1"/>
  <c r="I153"/>
  <c r="J153" s="1"/>
  <c r="K153" s="1"/>
  <c r="N153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D148"/>
  <c r="D147"/>
  <c r="D146"/>
  <c r="D145"/>
  <c r="D144"/>
  <c r="D143"/>
  <c r="D142"/>
  <c r="D141"/>
  <c r="D140"/>
  <c r="D138"/>
  <c r="D137"/>
  <c r="D136"/>
  <c r="D135"/>
  <c r="D134"/>
  <c r="D133"/>
  <c r="D132"/>
  <c r="D131"/>
  <c r="D130"/>
  <c r="B148"/>
  <c r="B147"/>
  <c r="B146"/>
  <c r="B145"/>
  <c r="B144"/>
  <c r="B143"/>
  <c r="B142"/>
  <c r="B141"/>
  <c r="B140"/>
  <c r="B138"/>
  <c r="B137"/>
  <c r="B136"/>
  <c r="B135"/>
  <c r="B134"/>
  <c r="B133"/>
  <c r="B132"/>
  <c r="B131"/>
  <c r="B130"/>
  <c r="B126"/>
  <c r="B125"/>
  <c r="B124"/>
  <c r="B123"/>
  <c r="B122"/>
  <c r="B121"/>
  <c r="F126"/>
  <c r="F125"/>
  <c r="F124"/>
  <c r="F123"/>
  <c r="F122"/>
  <c r="G122" s="1"/>
  <c r="F121"/>
  <c r="G121" s="1"/>
  <c r="F119"/>
  <c r="G119" s="1"/>
  <c r="F118"/>
  <c r="G118" s="1"/>
  <c r="F117"/>
  <c r="G117" s="1"/>
  <c r="F116"/>
  <c r="G116" s="1"/>
  <c r="F115"/>
  <c r="G115" s="1"/>
  <c r="F114"/>
  <c r="G114" s="1"/>
  <c r="D126"/>
  <c r="D125"/>
  <c r="D124"/>
  <c r="D123"/>
  <c r="D122"/>
  <c r="D121"/>
  <c r="D119"/>
  <c r="D118"/>
  <c r="D117"/>
  <c r="D116"/>
  <c r="D115"/>
  <c r="D114"/>
  <c r="G126"/>
  <c r="G125"/>
  <c r="G124"/>
  <c r="G123"/>
  <c r="B119"/>
  <c r="B118"/>
  <c r="B117"/>
  <c r="B116"/>
  <c r="B115"/>
  <c r="B114"/>
  <c r="F112"/>
  <c r="G112" s="1"/>
  <c r="F111"/>
  <c r="G111" s="1"/>
  <c r="F110"/>
  <c r="G110" s="1"/>
  <c r="F109"/>
  <c r="G109" s="1"/>
  <c r="F108"/>
  <c r="G108" s="1"/>
  <c r="F107"/>
  <c r="G107" s="1"/>
  <c r="F105"/>
  <c r="G105" s="1"/>
  <c r="F104"/>
  <c r="G104" s="1"/>
  <c r="F103"/>
  <c r="G103" s="1"/>
  <c r="F102"/>
  <c r="G102" s="1"/>
  <c r="F101"/>
  <c r="G101" s="1"/>
  <c r="D112"/>
  <c r="D111"/>
  <c r="D110"/>
  <c r="D109"/>
  <c r="D108"/>
  <c r="D107"/>
  <c r="D105"/>
  <c r="D104"/>
  <c r="D103"/>
  <c r="D102"/>
  <c r="D101"/>
  <c r="B105"/>
  <c r="B104"/>
  <c r="B103"/>
  <c r="B102"/>
  <c r="B101"/>
  <c r="F96"/>
  <c r="G96" s="1"/>
  <c r="F95"/>
  <c r="G95" s="1"/>
  <c r="F94"/>
  <c r="G94" s="1"/>
  <c r="F93"/>
  <c r="G93" s="1"/>
  <c r="F92"/>
  <c r="G92" s="1"/>
  <c r="F91"/>
  <c r="G91" s="1"/>
  <c r="F89"/>
  <c r="G89" s="1"/>
  <c r="F88"/>
  <c r="G88" s="1"/>
  <c r="F87"/>
  <c r="G87" s="1"/>
  <c r="F86"/>
  <c r="G86" s="1"/>
  <c r="F85"/>
  <c r="G85" s="1"/>
  <c r="F84"/>
  <c r="G84" s="1"/>
  <c r="F82"/>
  <c r="G82" s="1"/>
  <c r="F81"/>
  <c r="G81" s="1"/>
  <c r="F80"/>
  <c r="G80" s="1"/>
  <c r="F79"/>
  <c r="G79" s="1"/>
  <c r="F78"/>
  <c r="G78" s="1"/>
  <c r="F77"/>
  <c r="G77" s="1"/>
  <c r="F75"/>
  <c r="G75" s="1"/>
  <c r="F74"/>
  <c r="G74" s="1"/>
  <c r="F73"/>
  <c r="G73" s="1"/>
  <c r="F72"/>
  <c r="G72" s="1"/>
  <c r="F71"/>
  <c r="G71" s="1"/>
  <c r="F70"/>
  <c r="G70" s="1"/>
  <c r="D96"/>
  <c r="D95"/>
  <c r="D94"/>
  <c r="D93"/>
  <c r="D92"/>
  <c r="D91"/>
  <c r="D89"/>
  <c r="D88"/>
  <c r="D87"/>
  <c r="D86"/>
  <c r="D85"/>
  <c r="D84"/>
  <c r="D82"/>
  <c r="D81"/>
  <c r="D80"/>
  <c r="D79"/>
  <c r="D78"/>
  <c r="D77"/>
  <c r="D75"/>
  <c r="D74"/>
  <c r="D73"/>
  <c r="D72"/>
  <c r="D71"/>
  <c r="D70"/>
  <c r="B75"/>
  <c r="B74"/>
  <c r="B73"/>
  <c r="B72"/>
  <c r="B71"/>
  <c r="B70"/>
  <c r="F62"/>
  <c r="G62" s="1"/>
  <c r="F55"/>
  <c r="G55" s="1"/>
  <c r="F48"/>
  <c r="G48" s="1"/>
  <c r="D67"/>
  <c r="D66"/>
  <c r="D65"/>
  <c r="D64"/>
  <c r="D63"/>
  <c r="D62"/>
  <c r="D60"/>
  <c r="D59"/>
  <c r="D58"/>
  <c r="D57"/>
  <c r="D56"/>
  <c r="D55"/>
  <c r="D53"/>
  <c r="D52"/>
  <c r="D51"/>
  <c r="D50"/>
  <c r="D49"/>
  <c r="D48"/>
  <c r="F67"/>
  <c r="G67" s="1"/>
  <c r="F66"/>
  <c r="G66" s="1"/>
  <c r="F65"/>
  <c r="G65" s="1"/>
  <c r="F64"/>
  <c r="G64" s="1"/>
  <c r="F63"/>
  <c r="G63" s="1"/>
  <c r="F60"/>
  <c r="G60" s="1"/>
  <c r="F59"/>
  <c r="G59" s="1"/>
  <c r="F58"/>
  <c r="G58" s="1"/>
  <c r="F57"/>
  <c r="G57" s="1"/>
  <c r="F56"/>
  <c r="G56" s="1"/>
  <c r="F53"/>
  <c r="G53" s="1"/>
  <c r="F52"/>
  <c r="G52" s="1"/>
  <c r="F51"/>
  <c r="G51" s="1"/>
  <c r="F50"/>
  <c r="G50" s="1"/>
  <c r="F49"/>
  <c r="G49" s="1"/>
  <c r="F46"/>
  <c r="G46" s="1"/>
  <c r="F45"/>
  <c r="G45" s="1"/>
  <c r="F44"/>
  <c r="G44" s="1"/>
  <c r="F43"/>
  <c r="G43" s="1"/>
  <c r="F42"/>
  <c r="G42" s="1"/>
  <c r="F41"/>
  <c r="G41" s="1"/>
  <c r="D46"/>
  <c r="D45"/>
  <c r="D44"/>
  <c r="D43"/>
  <c r="D42"/>
  <c r="D41"/>
  <c r="B46"/>
  <c r="B45"/>
  <c r="B44"/>
  <c r="B43"/>
  <c r="B42"/>
  <c r="B41"/>
  <c r="D33"/>
  <c r="B26"/>
  <c r="B25"/>
  <c r="B37"/>
  <c r="B38"/>
  <c r="B36"/>
  <c r="F12"/>
  <c r="F13"/>
  <c r="F9"/>
  <c r="F10"/>
  <c r="F11"/>
  <c r="D9"/>
  <c r="D20"/>
  <c r="D18"/>
  <c r="D17"/>
  <c r="D16"/>
  <c r="D15"/>
  <c r="D12"/>
  <c r="D10"/>
  <c r="D11"/>
  <c r="D8"/>
  <c r="D7"/>
  <c r="H100" l="1"/>
  <c r="I100" s="1"/>
  <c r="J100" s="1"/>
  <c r="K100" s="1"/>
  <c r="N100" s="1"/>
  <c r="H117"/>
  <c r="I118" s="1"/>
  <c r="J118" s="1"/>
  <c r="K118" s="1"/>
  <c r="N118" s="1"/>
  <c r="H146"/>
  <c r="I146" s="1"/>
  <c r="J146" s="1"/>
  <c r="K146" s="1"/>
  <c r="N146" s="1"/>
  <c r="H143"/>
  <c r="I144" s="1"/>
  <c r="J144" s="1"/>
  <c r="K144" s="1"/>
  <c r="N144" s="1"/>
  <c r="H140"/>
  <c r="I141" s="1"/>
  <c r="J141" s="1"/>
  <c r="K141" s="1"/>
  <c r="N141" s="1"/>
  <c r="H136"/>
  <c r="I138" s="1"/>
  <c r="J138" s="1"/>
  <c r="K138" s="1"/>
  <c r="N138" s="1"/>
  <c r="H133"/>
  <c r="I133" s="1"/>
  <c r="J133" s="1"/>
  <c r="K133" s="1"/>
  <c r="N133" s="1"/>
  <c r="H130"/>
  <c r="I132" s="1"/>
  <c r="J132" s="1"/>
  <c r="K132" s="1"/>
  <c r="N132" s="1"/>
  <c r="H124"/>
  <c r="I124" s="1"/>
  <c r="J124" s="1"/>
  <c r="K124" s="1"/>
  <c r="N124" s="1"/>
  <c r="H121"/>
  <c r="I122" s="1"/>
  <c r="J122" s="1"/>
  <c r="K122" s="1"/>
  <c r="N122" s="1"/>
  <c r="H114"/>
  <c r="I116" s="1"/>
  <c r="J116" s="1"/>
  <c r="K116" s="1"/>
  <c r="N116" s="1"/>
  <c r="H103"/>
  <c r="I105" s="1"/>
  <c r="J105" s="1"/>
  <c r="K105" s="1"/>
  <c r="N105" s="1"/>
  <c r="H107"/>
  <c r="I108" s="1"/>
  <c r="J108" s="1"/>
  <c r="K108" s="1"/>
  <c r="N108" s="1"/>
  <c r="H110"/>
  <c r="I112" s="1"/>
  <c r="J112" s="1"/>
  <c r="K112" s="1"/>
  <c r="N112" s="1"/>
  <c r="H84"/>
  <c r="I85" s="1"/>
  <c r="J85" s="1"/>
  <c r="K85" s="1"/>
  <c r="N85" s="1"/>
  <c r="H80"/>
  <c r="I81" s="1"/>
  <c r="J81" s="1"/>
  <c r="K81" s="1"/>
  <c r="N81" s="1"/>
  <c r="H77"/>
  <c r="I78" s="1"/>
  <c r="J78" s="1"/>
  <c r="K78" s="1"/>
  <c r="N78" s="1"/>
  <c r="H91"/>
  <c r="I93" s="1"/>
  <c r="J93" s="1"/>
  <c r="K93" s="1"/>
  <c r="N93" s="1"/>
  <c r="H94"/>
  <c r="I94" s="1"/>
  <c r="J94" s="1"/>
  <c r="K94" s="1"/>
  <c r="N94" s="1"/>
  <c r="H87"/>
  <c r="I87" s="1"/>
  <c r="J87" s="1"/>
  <c r="K87" s="1"/>
  <c r="N87" s="1"/>
  <c r="H73"/>
  <c r="I75" s="1"/>
  <c r="J75" s="1"/>
  <c r="K75" s="1"/>
  <c r="N75" s="1"/>
  <c r="H70"/>
  <c r="I71" s="1"/>
  <c r="J71" s="1"/>
  <c r="K71" s="1"/>
  <c r="N71" s="1"/>
  <c r="H41"/>
  <c r="I41" s="1"/>
  <c r="J41" s="1"/>
  <c r="K41" s="1"/>
  <c r="N41" s="1"/>
  <c r="H58"/>
  <c r="I58" s="1"/>
  <c r="J58" s="1"/>
  <c r="K58" s="1"/>
  <c r="N58" s="1"/>
  <c r="H44"/>
  <c r="I45" s="1"/>
  <c r="J45" s="1"/>
  <c r="K45" s="1"/>
  <c r="N45" s="1"/>
  <c r="H55"/>
  <c r="I57" s="1"/>
  <c r="J57" s="1"/>
  <c r="K57" s="1"/>
  <c r="N57" s="1"/>
  <c r="H48"/>
  <c r="I50" s="1"/>
  <c r="J50" s="1"/>
  <c r="K50" s="1"/>
  <c r="N50" s="1"/>
  <c r="H51"/>
  <c r="I51" s="1"/>
  <c r="J51" s="1"/>
  <c r="K51" s="1"/>
  <c r="N51" s="1"/>
  <c r="H65"/>
  <c r="I65" s="1"/>
  <c r="J65" s="1"/>
  <c r="K65" s="1"/>
  <c r="N65" s="1"/>
  <c r="H62"/>
  <c r="I147" l="1"/>
  <c r="J147" s="1"/>
  <c r="K147" s="1"/>
  <c r="N147" s="1"/>
  <c r="I143"/>
  <c r="J143" s="1"/>
  <c r="K143" s="1"/>
  <c r="N143" s="1"/>
  <c r="I142"/>
  <c r="J142" s="1"/>
  <c r="K142" s="1"/>
  <c r="N142" s="1"/>
  <c r="I117"/>
  <c r="J117" s="1"/>
  <c r="K117" s="1"/>
  <c r="N117" s="1"/>
  <c r="I145"/>
  <c r="J145" s="1"/>
  <c r="K145" s="1"/>
  <c r="N145" s="1"/>
  <c r="I84"/>
  <c r="J84" s="1"/>
  <c r="K84" s="1"/>
  <c r="N84" s="1"/>
  <c r="I130"/>
  <c r="J130" s="1"/>
  <c r="K130" s="1"/>
  <c r="N130" s="1"/>
  <c r="I135"/>
  <c r="J135" s="1"/>
  <c r="K135" s="1"/>
  <c r="N135" s="1"/>
  <c r="I114"/>
  <c r="J114" s="1"/>
  <c r="K114" s="1"/>
  <c r="N114" s="1"/>
  <c r="I131"/>
  <c r="J131" s="1"/>
  <c r="K131" s="1"/>
  <c r="N131" s="1"/>
  <c r="I125"/>
  <c r="J125" s="1"/>
  <c r="K125" s="1"/>
  <c r="N125" s="1"/>
  <c r="I121"/>
  <c r="J121" s="1"/>
  <c r="K121" s="1"/>
  <c r="N121" s="1"/>
  <c r="I148"/>
  <c r="J148" s="1"/>
  <c r="K148" s="1"/>
  <c r="N148" s="1"/>
  <c r="I115"/>
  <c r="J115" s="1"/>
  <c r="K115" s="1"/>
  <c r="N115" s="1"/>
  <c r="I123"/>
  <c r="J123" s="1"/>
  <c r="K123" s="1"/>
  <c r="N123" s="1"/>
  <c r="I88"/>
  <c r="J88" s="1"/>
  <c r="K88" s="1"/>
  <c r="N88" s="1"/>
  <c r="I107"/>
  <c r="J107" s="1"/>
  <c r="K107" s="1"/>
  <c r="N107" s="1"/>
  <c r="I126"/>
  <c r="J126" s="1"/>
  <c r="K126" s="1"/>
  <c r="N126" s="1"/>
  <c r="I140"/>
  <c r="J140" s="1"/>
  <c r="K140" s="1"/>
  <c r="N140" s="1"/>
  <c r="I119"/>
  <c r="J119" s="1"/>
  <c r="K119" s="1"/>
  <c r="N119" s="1"/>
  <c r="I136"/>
  <c r="J136" s="1"/>
  <c r="K136" s="1"/>
  <c r="N136" s="1"/>
  <c r="I111"/>
  <c r="J111" s="1"/>
  <c r="K111" s="1"/>
  <c r="N111" s="1"/>
  <c r="I134"/>
  <c r="J134" s="1"/>
  <c r="K134" s="1"/>
  <c r="N134" s="1"/>
  <c r="I137"/>
  <c r="J137" s="1"/>
  <c r="K137" s="1"/>
  <c r="N137" s="1"/>
  <c r="I103"/>
  <c r="J103" s="1"/>
  <c r="K103" s="1"/>
  <c r="N103" s="1"/>
  <c r="I109"/>
  <c r="J109" s="1"/>
  <c r="K109" s="1"/>
  <c r="N109" s="1"/>
  <c r="I104"/>
  <c r="J104" s="1"/>
  <c r="K104" s="1"/>
  <c r="N104" s="1"/>
  <c r="I110"/>
  <c r="J110" s="1"/>
  <c r="K110" s="1"/>
  <c r="N110" s="1"/>
  <c r="I102"/>
  <c r="J102" s="1"/>
  <c r="K102" s="1"/>
  <c r="N102" s="1"/>
  <c r="I101"/>
  <c r="J101" s="1"/>
  <c r="K101" s="1"/>
  <c r="N101" s="1"/>
  <c r="I77"/>
  <c r="J77" s="1"/>
  <c r="K77" s="1"/>
  <c r="N77" s="1"/>
  <c r="I95"/>
  <c r="J95" s="1"/>
  <c r="K95" s="1"/>
  <c r="N95" s="1"/>
  <c r="I49"/>
  <c r="J49" s="1"/>
  <c r="K49" s="1"/>
  <c r="N49" s="1"/>
  <c r="I86"/>
  <c r="J86" s="1"/>
  <c r="K86" s="1"/>
  <c r="N86" s="1"/>
  <c r="I82"/>
  <c r="J82" s="1"/>
  <c r="K82" s="1"/>
  <c r="N82" s="1"/>
  <c r="I79"/>
  <c r="J79" s="1"/>
  <c r="K79" s="1"/>
  <c r="N79" s="1"/>
  <c r="I70"/>
  <c r="J70" s="1"/>
  <c r="K70" s="1"/>
  <c r="N70" s="1"/>
  <c r="I80"/>
  <c r="J80" s="1"/>
  <c r="K80" s="1"/>
  <c r="N80" s="1"/>
  <c r="I92"/>
  <c r="J92" s="1"/>
  <c r="K92" s="1"/>
  <c r="N92" s="1"/>
  <c r="I91"/>
  <c r="J91" s="1"/>
  <c r="K91" s="1"/>
  <c r="N91" s="1"/>
  <c r="I96"/>
  <c r="J96" s="1"/>
  <c r="K96" s="1"/>
  <c r="N96" s="1"/>
  <c r="I89"/>
  <c r="J89" s="1"/>
  <c r="K89" s="1"/>
  <c r="N89" s="1"/>
  <c r="I73"/>
  <c r="J73" s="1"/>
  <c r="K73" s="1"/>
  <c r="N73" s="1"/>
  <c r="I74"/>
  <c r="J74" s="1"/>
  <c r="K74" s="1"/>
  <c r="N74" s="1"/>
  <c r="I72"/>
  <c r="J72" s="1"/>
  <c r="K72" s="1"/>
  <c r="N72" s="1"/>
  <c r="I59"/>
  <c r="J59" s="1"/>
  <c r="K59" s="1"/>
  <c r="N59" s="1"/>
  <c r="I66"/>
  <c r="J66" s="1"/>
  <c r="K66" s="1"/>
  <c r="N66" s="1"/>
  <c r="I52"/>
  <c r="J52" s="1"/>
  <c r="K52" s="1"/>
  <c r="N52" s="1"/>
  <c r="I46"/>
  <c r="J46" s="1"/>
  <c r="K46" s="1"/>
  <c r="N46" s="1"/>
  <c r="I44"/>
  <c r="J44" s="1"/>
  <c r="K44" s="1"/>
  <c r="N44" s="1"/>
  <c r="I53"/>
  <c r="J53" s="1"/>
  <c r="K53" s="1"/>
  <c r="N53" s="1"/>
  <c r="I56"/>
  <c r="J56" s="1"/>
  <c r="K56" s="1"/>
  <c r="N56" s="1"/>
  <c r="I55"/>
  <c r="J55" s="1"/>
  <c r="K55" s="1"/>
  <c r="N55" s="1"/>
  <c r="I67"/>
  <c r="J67" s="1"/>
  <c r="K67" s="1"/>
  <c r="N67" s="1"/>
  <c r="I48"/>
  <c r="J48" s="1"/>
  <c r="K48" s="1"/>
  <c r="N48" s="1"/>
  <c r="I60"/>
  <c r="J60" s="1"/>
  <c r="K60" s="1"/>
  <c r="N60" s="1"/>
  <c r="I42"/>
  <c r="J42" s="1"/>
  <c r="K42" s="1"/>
  <c r="N42" s="1"/>
  <c r="I43"/>
  <c r="J43" s="1"/>
  <c r="K43" s="1"/>
  <c r="N43" s="1"/>
  <c r="I63"/>
  <c r="J63" s="1"/>
  <c r="K63" s="1"/>
  <c r="N63" s="1"/>
  <c r="I64"/>
  <c r="J64" s="1"/>
  <c r="K64" s="1"/>
  <c r="N64" s="1"/>
  <c r="I62"/>
  <c r="J62" s="1"/>
  <c r="K62" s="1"/>
  <c r="N62" s="1"/>
  <c r="D38" l="1"/>
  <c r="D37"/>
  <c r="D36"/>
  <c r="D35"/>
  <c r="D34"/>
  <c r="D32"/>
  <c r="D31"/>
  <c r="D30"/>
  <c r="D29"/>
  <c r="D28"/>
  <c r="D27"/>
  <c r="D26"/>
  <c r="D25"/>
  <c r="D24"/>
  <c r="D23"/>
  <c r="D22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0"/>
  <c r="F19"/>
  <c r="F18"/>
  <c r="D19"/>
  <c r="F17"/>
  <c r="F16"/>
  <c r="F15"/>
  <c r="F14"/>
  <c r="D14"/>
  <c r="D13"/>
  <c r="F8"/>
  <c r="F7"/>
  <c r="H36" l="1"/>
  <c r="I36" s="1"/>
  <c r="J36" s="1"/>
  <c r="K36" s="1"/>
  <c r="N36" s="1"/>
  <c r="H27"/>
  <c r="I28" s="1"/>
  <c r="J28" s="1"/>
  <c r="K28" s="1"/>
  <c r="N28" s="1"/>
  <c r="H30"/>
  <c r="I30" s="1"/>
  <c r="J30" s="1"/>
  <c r="K30" s="1"/>
  <c r="N30" s="1"/>
  <c r="H33"/>
  <c r="I35" s="1"/>
  <c r="J35" s="1"/>
  <c r="K35" s="1"/>
  <c r="N35" s="1"/>
  <c r="H22"/>
  <c r="I24" s="1"/>
  <c r="J24" s="1"/>
  <c r="K24" s="1"/>
  <c r="N24" s="1"/>
  <c r="H25"/>
  <c r="I25" s="1"/>
  <c r="J25" s="1"/>
  <c r="K25" s="1"/>
  <c r="N25" s="1"/>
  <c r="I37" l="1"/>
  <c r="J37" s="1"/>
  <c r="K37" s="1"/>
  <c r="N37" s="1"/>
  <c r="I38"/>
  <c r="J38" s="1"/>
  <c r="K38" s="1"/>
  <c r="N38" s="1"/>
  <c r="I33"/>
  <c r="J33" s="1"/>
  <c r="K33" s="1"/>
  <c r="N33" s="1"/>
  <c r="I34"/>
  <c r="J34" s="1"/>
  <c r="K34" s="1"/>
  <c r="N34" s="1"/>
  <c r="I22"/>
  <c r="J22" s="1"/>
  <c r="K22" s="1"/>
  <c r="N22" s="1"/>
  <c r="I23"/>
  <c r="J23" s="1"/>
  <c r="K23" s="1"/>
  <c r="N23" s="1"/>
  <c r="I29"/>
  <c r="J29" s="1"/>
  <c r="K29" s="1"/>
  <c r="N29" s="1"/>
  <c r="I27"/>
  <c r="J27" s="1"/>
  <c r="K27" s="1"/>
  <c r="N27" s="1"/>
  <c r="I26"/>
  <c r="J26" s="1"/>
  <c r="K26" s="1"/>
  <c r="N26" s="1"/>
  <c r="I32"/>
  <c r="J32" s="1"/>
  <c r="K32" s="1"/>
  <c r="N32" s="1"/>
  <c r="I31"/>
  <c r="J31" s="1"/>
  <c r="K31" s="1"/>
  <c r="N31" s="1"/>
  <c r="F6" l="1"/>
  <c r="F5"/>
  <c r="F4"/>
  <c r="D6"/>
  <c r="D5"/>
  <c r="B12"/>
  <c r="B13"/>
  <c r="M13" s="1"/>
  <c r="G13" s="1"/>
  <c r="B14"/>
  <c r="M14" s="1"/>
  <c r="G14" s="1"/>
  <c r="B5"/>
  <c r="M5" s="1"/>
  <c r="B6"/>
  <c r="M6" s="1"/>
  <c r="B7"/>
  <c r="M7" s="1"/>
  <c r="B8"/>
  <c r="M8" s="1"/>
  <c r="B9"/>
  <c r="M9" s="1"/>
  <c r="G9" s="1"/>
  <c r="B10"/>
  <c r="M10" s="1"/>
  <c r="G10" s="1"/>
  <c r="B11"/>
  <c r="M11" s="1"/>
  <c r="G11" s="1"/>
  <c r="B15"/>
  <c r="B16"/>
  <c r="B17"/>
  <c r="M17" s="1"/>
  <c r="G17" s="1"/>
  <c r="B18"/>
  <c r="B19"/>
  <c r="B20"/>
  <c r="B4"/>
  <c r="M4" s="1"/>
  <c r="G4" l="1"/>
  <c r="G6"/>
  <c r="G5"/>
  <c r="H9"/>
  <c r="I11" s="1"/>
  <c r="J11" s="1"/>
  <c r="K11" s="1"/>
  <c r="N11" s="1"/>
  <c r="G7"/>
  <c r="M19"/>
  <c r="G19" s="1"/>
  <c r="M15"/>
  <c r="G15" s="1"/>
  <c r="G8"/>
  <c r="M18"/>
  <c r="G18" s="1"/>
  <c r="M20"/>
  <c r="G20" s="1"/>
  <c r="M16"/>
  <c r="G16" s="1"/>
  <c r="M12"/>
  <c r="G12" s="1"/>
  <c r="I10" l="1"/>
  <c r="J10" s="1"/>
  <c r="K10" s="1"/>
  <c r="N10" s="1"/>
  <c r="H4"/>
  <c r="I6" s="1"/>
  <c r="J6" s="1"/>
  <c r="K6" s="1"/>
  <c r="N6" s="1"/>
  <c r="I9"/>
  <c r="J9" s="1"/>
  <c r="K9" s="1"/>
  <c r="N9" s="1"/>
  <c r="H12"/>
  <c r="I12" s="1"/>
  <c r="J12" s="1"/>
  <c r="K12" s="1"/>
  <c r="N12" s="1"/>
  <c r="H18"/>
  <c r="I18" s="1"/>
  <c r="J18" s="1"/>
  <c r="K18" s="1"/>
  <c r="N18" s="1"/>
  <c r="H15"/>
  <c r="I17" s="1"/>
  <c r="J17" s="1"/>
  <c r="K17" s="1"/>
  <c r="N17" s="1"/>
  <c r="H7"/>
  <c r="I8" s="1"/>
  <c r="J8" s="1"/>
  <c r="K8" s="1"/>
  <c r="N8" s="1"/>
  <c r="I5" l="1"/>
  <c r="J5" s="1"/>
  <c r="K5" s="1"/>
  <c r="N5" s="1"/>
  <c r="I4"/>
  <c r="J4" s="1"/>
  <c r="K4" s="1"/>
  <c r="N4" s="1"/>
  <c r="I19"/>
  <c r="J19" s="1"/>
  <c r="K19" s="1"/>
  <c r="N19" s="1"/>
  <c r="I20"/>
  <c r="J20" s="1"/>
  <c r="K20" s="1"/>
  <c r="N20" s="1"/>
  <c r="I14"/>
  <c r="J14" s="1"/>
  <c r="K14" s="1"/>
  <c r="N14" s="1"/>
  <c r="I13"/>
  <c r="J13" s="1"/>
  <c r="K13" s="1"/>
  <c r="N13" s="1"/>
  <c r="I16"/>
  <c r="J16" s="1"/>
  <c r="K16" s="1"/>
  <c r="N16" s="1"/>
  <c r="I7"/>
  <c r="J7" s="1"/>
  <c r="K7" s="1"/>
  <c r="N7" s="1"/>
  <c r="I15"/>
  <c r="J15" s="1"/>
  <c r="K15" s="1"/>
  <c r="N15" s="1"/>
</calcChain>
</file>

<file path=xl/sharedStrings.xml><?xml version="1.0" encoding="utf-8"?>
<sst xmlns="http://schemas.openxmlformats.org/spreadsheetml/2006/main" count="443" uniqueCount="86">
  <si>
    <t>eRNA</t>
  </si>
  <si>
    <t>Reference</t>
  </si>
  <si>
    <t>GAPDH</t>
  </si>
  <si>
    <t>CEBPA</t>
  </si>
  <si>
    <t>CEBPG</t>
  </si>
  <si>
    <t>Hela-VPR-ctrl-1</t>
  </si>
  <si>
    <t>Hela-VPR-ctrl-2</t>
  </si>
  <si>
    <t>Hela-VPR-ctrl-3</t>
  </si>
  <si>
    <t>Hela-VPR-eRNA-act-1</t>
  </si>
  <si>
    <t>Hela-VPR-eRNA-act-2</t>
  </si>
  <si>
    <t>Hela-VPR-eRNA-act-3</t>
  </si>
  <si>
    <t>Hela-VPR-ceb-act-1</t>
  </si>
  <si>
    <t>Hela-VPR-ceb-act-2</t>
  </si>
  <si>
    <t>Hela-VPR-ceb-act-3</t>
  </si>
  <si>
    <t>Albumin</t>
  </si>
  <si>
    <t>Sample</t>
  </si>
  <si>
    <t>Target</t>
  </si>
  <si>
    <t>Target Copies Per 20 µl Well</t>
  </si>
  <si>
    <t>Reference Copies Per 20 µl Well</t>
  </si>
  <si>
    <t>Reference Theoretical copies per ng</t>
  </si>
  <si>
    <t>Average Reference Value</t>
  </si>
  <si>
    <t xml:space="preserve">Percent of Average </t>
  </si>
  <si>
    <t>Calculated ng input RNA</t>
  </si>
  <si>
    <t xml:space="preserve">Target copies per ng input RNA </t>
  </si>
  <si>
    <t>G(line n)/ Average from  Column H</t>
  </si>
  <si>
    <t>B(line n)* I(line n)</t>
  </si>
  <si>
    <t>D(line n)/ J(line n)</t>
  </si>
  <si>
    <t>Theoretical input amount target (ng)</t>
  </si>
  <si>
    <t>Hep3b-1</t>
  </si>
  <si>
    <t>Hep3b-2</t>
  </si>
  <si>
    <t>Hep3b-3</t>
  </si>
  <si>
    <t>Adipose-1</t>
  </si>
  <si>
    <t>Adipose-2</t>
  </si>
  <si>
    <t>HepG2-1</t>
  </si>
  <si>
    <t>HepG2-2</t>
  </si>
  <si>
    <t>HepG2-3</t>
  </si>
  <si>
    <t>Hela-1</t>
  </si>
  <si>
    <t>Hela-2</t>
  </si>
  <si>
    <t>Hela-3</t>
  </si>
  <si>
    <t>Jurkat-1</t>
  </si>
  <si>
    <t>Jurkat-2</t>
  </si>
  <si>
    <t>Jurkat-3</t>
  </si>
  <si>
    <t>F(line n)/ M(line n)</t>
  </si>
  <si>
    <t>HL-60-1</t>
  </si>
  <si>
    <t>HL-60-2</t>
  </si>
  <si>
    <t>HL-60-3</t>
  </si>
  <si>
    <t>AVERAGE of all values in column G per sample set</t>
  </si>
  <si>
    <t>Theoretical input amount reference (ng)</t>
  </si>
  <si>
    <t>Hep3b scr-1</t>
  </si>
  <si>
    <t>Hep3b scr-2</t>
  </si>
  <si>
    <t>Hep3b scr-3</t>
  </si>
  <si>
    <t>Hep3b gap4-1</t>
  </si>
  <si>
    <t>Hep3b gap4-2</t>
  </si>
  <si>
    <t>Hep3b gap4-3</t>
  </si>
  <si>
    <t>150nM gap6</t>
  </si>
  <si>
    <t>200nM gap4</t>
  </si>
  <si>
    <t>30nM saRNA</t>
  </si>
  <si>
    <t>G2 Scr 48 - 1</t>
  </si>
  <si>
    <t>G2 Scr 48 - 2</t>
  </si>
  <si>
    <t>G2 Scr 48 - 3</t>
  </si>
  <si>
    <t>G2 saRNA 48 - 1</t>
  </si>
  <si>
    <t>G2 saRNA 48 - 2</t>
  </si>
  <si>
    <t>G2 saRNA 48 - 3</t>
  </si>
  <si>
    <t>Hela Scr - 1</t>
  </si>
  <si>
    <t>Hela Scr - 2</t>
  </si>
  <si>
    <t>Hela Scr - 3</t>
  </si>
  <si>
    <t>Hela saRNA - 1</t>
  </si>
  <si>
    <t>Hela saRNA - 2</t>
  </si>
  <si>
    <t>Hela saRNA - 3</t>
  </si>
  <si>
    <t>VPR-dcas9</t>
  </si>
  <si>
    <t>Multi cell line</t>
  </si>
  <si>
    <t>Target copies per 10ng input RNA</t>
  </si>
  <si>
    <t>B2M</t>
  </si>
  <si>
    <t>Hep3B -200nM ctrla -1</t>
  </si>
  <si>
    <t>Hep3B -200nM ctrla -2</t>
  </si>
  <si>
    <t>Hep3B -200nM ctrla -3</t>
  </si>
  <si>
    <t>Hep3B -200nM Gap4 -1</t>
  </si>
  <si>
    <t>Hep3B -200nM Gap4 -2</t>
  </si>
  <si>
    <t>Hep3B -200nM Gap4 -3</t>
  </si>
  <si>
    <t>Chr 15 ctrl</t>
  </si>
  <si>
    <t>Chr 19 ctrl</t>
  </si>
  <si>
    <t>TBCB</t>
  </si>
  <si>
    <t>eRNA - oligo(dT) - Hep3b</t>
  </si>
  <si>
    <t>Hep3B - oligo dT - 1</t>
  </si>
  <si>
    <t>Hep3B - oligo dT - 2</t>
  </si>
  <si>
    <t>Hep3B - oligo dT - 3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</si>
</sst>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1" xfId="0" quotePrefix="1" applyFont="1" applyBorder="1" applyAlignment="1">
      <alignment horizontal="center" wrapText="1"/>
    </xf>
    <xf numFmtId="10" fontId="1" fillId="0" borderId="1" xfId="0" quotePrefix="1" applyNumberFormat="1" applyFont="1" applyBorder="1" applyAlignment="1">
      <alignment horizontal="center" wrapText="1"/>
    </xf>
    <xf numFmtId="2" fontId="1" fillId="0" borderId="1" xfId="0" quotePrefix="1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" fillId="0" borderId="0" xfId="0" quotePrefix="1" applyFont="1" applyBorder="1" applyAlignment="1">
      <alignment horizontal="center" wrapText="1"/>
    </xf>
    <xf numFmtId="10" fontId="1" fillId="0" borderId="0" xfId="0" quotePrefix="1" applyNumberFormat="1" applyFont="1" applyBorder="1" applyAlignment="1">
      <alignment horizontal="center" wrapText="1"/>
    </xf>
    <xf numFmtId="2" fontId="1" fillId="0" borderId="0" xfId="0" quotePrefix="1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14" fontId="5" fillId="0" borderId="0" xfId="0" applyNumberFormat="1" applyFont="1" applyAlignment="1">
      <alignment horizontal="center"/>
    </xf>
    <xf numFmtId="0" fontId="6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5"/>
  <sheetViews>
    <sheetView tabSelected="1" topLeftCell="A146" workbookViewId="0">
      <selection activeCell="A156" sqref="A156"/>
    </sheetView>
  </sheetViews>
  <sheetFormatPr defaultRowHeight="15"/>
  <cols>
    <col min="1" max="1" width="34.140625" customWidth="1"/>
    <col min="2" max="2" width="12.7109375" customWidth="1"/>
    <col min="3" max="3" width="8.140625" customWidth="1"/>
    <col min="4" max="4" width="13.28515625" customWidth="1"/>
    <col min="5" max="5" width="10.140625" customWidth="1"/>
    <col min="6" max="6" width="10.7109375" customWidth="1"/>
    <col min="7" max="7" width="18" customWidth="1"/>
    <col min="8" max="8" width="18.5703125" customWidth="1"/>
    <col min="9" max="9" width="18" customWidth="1"/>
    <col min="10" max="10" width="16.85546875" customWidth="1"/>
    <col min="11" max="11" width="17.7109375" customWidth="1"/>
    <col min="12" max="12" width="2.85546875" customWidth="1"/>
    <col min="13" max="13" width="13.42578125" customWidth="1"/>
    <col min="14" max="14" width="12.42578125" customWidth="1"/>
  </cols>
  <sheetData>
    <row r="1" spans="1:14" ht="46.5" customHeight="1" thickBot="1">
      <c r="A1" s="6" t="s">
        <v>15</v>
      </c>
      <c r="B1" s="6" t="s">
        <v>27</v>
      </c>
      <c r="C1" s="6" t="s">
        <v>16</v>
      </c>
      <c r="D1" s="6" t="s">
        <v>17</v>
      </c>
      <c r="E1" s="6" t="s">
        <v>1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  <c r="K1" s="7" t="s">
        <v>23</v>
      </c>
      <c r="M1" s="16" t="s">
        <v>47</v>
      </c>
      <c r="N1" s="6" t="s">
        <v>71</v>
      </c>
    </row>
    <row r="2" spans="1:14" ht="51.75" customHeight="1" thickBot="1">
      <c r="A2" s="5"/>
      <c r="B2" s="5"/>
      <c r="C2" s="5"/>
      <c r="D2" s="5"/>
      <c r="E2" s="5"/>
      <c r="F2" s="5"/>
      <c r="G2" s="8" t="s">
        <v>42</v>
      </c>
      <c r="H2" s="8" t="s">
        <v>46</v>
      </c>
      <c r="I2" s="9" t="s">
        <v>24</v>
      </c>
      <c r="J2" s="10" t="s">
        <v>25</v>
      </c>
      <c r="K2" s="10" t="s">
        <v>26</v>
      </c>
    </row>
    <row r="3" spans="1:14" s="2" customFormat="1" ht="22.5" customHeight="1">
      <c r="A3" s="6" t="s">
        <v>70</v>
      </c>
      <c r="B3" s="5"/>
      <c r="C3" s="5"/>
      <c r="D3" s="5"/>
      <c r="E3" s="5"/>
      <c r="F3" s="5"/>
      <c r="G3" s="13"/>
      <c r="H3" s="13"/>
      <c r="I3" s="14"/>
      <c r="J3" s="15"/>
      <c r="K3" s="15"/>
    </row>
    <row r="4" spans="1:14">
      <c r="A4" s="2" t="s">
        <v>28</v>
      </c>
      <c r="B4" s="1">
        <f t="shared" ref="B4:B20" si="0">(500/22)*4</f>
        <v>90.909090909090907</v>
      </c>
      <c r="C4" s="2" t="s">
        <v>0</v>
      </c>
      <c r="D4" s="2">
        <f>20*91</f>
        <v>1820</v>
      </c>
      <c r="E4" s="2" t="s">
        <v>2</v>
      </c>
      <c r="F4" s="2">
        <f>20*1782</f>
        <v>35640</v>
      </c>
      <c r="G4">
        <f>F4/M4</f>
        <v>39204</v>
      </c>
      <c r="H4">
        <f>AVERAGE(G4:G6)</f>
        <v>43391.333333333336</v>
      </c>
      <c r="I4">
        <f>G4/$H$4</f>
        <v>0.90349839445665026</v>
      </c>
      <c r="J4">
        <f>B4*I4</f>
        <v>82.136217677877298</v>
      </c>
      <c r="K4" s="3">
        <f>D4/J4</f>
        <v>22.158312757201646</v>
      </c>
      <c r="M4" s="11">
        <f>B4/100</f>
        <v>0.90909090909090906</v>
      </c>
      <c r="N4">
        <f>10*K4</f>
        <v>221.58312757201645</v>
      </c>
    </row>
    <row r="5" spans="1:14">
      <c r="A5" s="2" t="s">
        <v>29</v>
      </c>
      <c r="B5" s="1">
        <f t="shared" si="0"/>
        <v>90.909090909090907</v>
      </c>
      <c r="C5" s="2" t="s">
        <v>0</v>
      </c>
      <c r="D5" s="2">
        <f>20*85</f>
        <v>1700</v>
      </c>
      <c r="E5" s="2" t="s">
        <v>2</v>
      </c>
      <c r="F5" s="2">
        <f>20*1865</f>
        <v>37300</v>
      </c>
      <c r="G5" s="2">
        <f t="shared" ref="G5:G38" si="1">F5/M5</f>
        <v>41030</v>
      </c>
      <c r="I5" s="2">
        <f t="shared" ref="I5:I6" si="2">G5/$H$4</f>
        <v>0.94558053067432812</v>
      </c>
      <c r="J5" s="2">
        <f t="shared" ref="J5:J38" si="3">B5*I5</f>
        <v>85.961866424938918</v>
      </c>
      <c r="K5" s="3">
        <f t="shared" ref="K5:K38" si="4">D5/J5</f>
        <v>19.7762109025916</v>
      </c>
      <c r="M5" s="11">
        <f t="shared" ref="M5:M20" si="5">B5/100</f>
        <v>0.90909090909090906</v>
      </c>
      <c r="N5" s="2">
        <f t="shared" ref="N5:N38" si="6">10*K5</f>
        <v>197.762109025916</v>
      </c>
    </row>
    <row r="6" spans="1:14">
      <c r="A6" s="2" t="s">
        <v>30</v>
      </c>
      <c r="B6" s="1">
        <f t="shared" si="0"/>
        <v>90.909090909090907</v>
      </c>
      <c r="C6" s="2" t="s">
        <v>0</v>
      </c>
      <c r="D6" s="2">
        <f>20*82</f>
        <v>1640</v>
      </c>
      <c r="E6" s="2" t="s">
        <v>2</v>
      </c>
      <c r="F6">
        <f>20*2270</f>
        <v>45400</v>
      </c>
      <c r="G6" s="2">
        <f t="shared" si="1"/>
        <v>49940</v>
      </c>
      <c r="I6" s="2">
        <f t="shared" si="2"/>
        <v>1.1509210748690215</v>
      </c>
      <c r="J6" s="2">
        <f t="shared" si="3"/>
        <v>104.6291886244565</v>
      </c>
      <c r="K6" s="3">
        <f t="shared" si="4"/>
        <v>15.67440234948605</v>
      </c>
      <c r="M6" s="11">
        <f t="shared" si="5"/>
        <v>0.90909090909090906</v>
      </c>
      <c r="N6" s="2">
        <f t="shared" si="6"/>
        <v>156.7440234948605</v>
      </c>
    </row>
    <row r="7" spans="1:14">
      <c r="A7" s="4" t="s">
        <v>31</v>
      </c>
      <c r="B7" s="1">
        <f t="shared" si="0"/>
        <v>90.909090909090907</v>
      </c>
      <c r="C7" s="2" t="s">
        <v>0</v>
      </c>
      <c r="D7">
        <f>20*47.6</f>
        <v>952</v>
      </c>
      <c r="E7" s="2" t="s">
        <v>2</v>
      </c>
      <c r="F7" s="2">
        <f>20*913</f>
        <v>18260</v>
      </c>
      <c r="G7" s="2">
        <f t="shared" si="1"/>
        <v>4017.2000000000003</v>
      </c>
      <c r="H7">
        <f>AVERAGE(G7:G8)</f>
        <v>3894</v>
      </c>
      <c r="I7" s="2">
        <f>G7/$H$7</f>
        <v>1.0316384180790961</v>
      </c>
      <c r="J7" s="2">
        <f t="shared" si="3"/>
        <v>93.78531073446328</v>
      </c>
      <c r="K7" s="3">
        <f t="shared" si="4"/>
        <v>10.150843373493975</v>
      </c>
      <c r="M7" s="11">
        <f>B7/20</f>
        <v>4.545454545454545</v>
      </c>
      <c r="N7" s="2">
        <f t="shared" si="6"/>
        <v>101.50843373493976</v>
      </c>
    </row>
    <row r="8" spans="1:14">
      <c r="A8" s="4" t="s">
        <v>32</v>
      </c>
      <c r="B8" s="1">
        <f t="shared" si="0"/>
        <v>90.909090909090907</v>
      </c>
      <c r="C8" s="2" t="s">
        <v>0</v>
      </c>
      <c r="D8">
        <f>20*42.3</f>
        <v>846</v>
      </c>
      <c r="E8" s="2" t="s">
        <v>2</v>
      </c>
      <c r="F8" s="2">
        <f>20*857</f>
        <v>17140</v>
      </c>
      <c r="G8" s="2">
        <f t="shared" si="1"/>
        <v>3770.8</v>
      </c>
      <c r="I8" s="2">
        <f>G8/$H$7</f>
        <v>0.96836158192090405</v>
      </c>
      <c r="J8" s="2">
        <f t="shared" si="3"/>
        <v>88.032871083718547</v>
      </c>
      <c r="K8" s="3">
        <f t="shared" si="4"/>
        <v>9.6100466744457407</v>
      </c>
      <c r="M8" s="11">
        <f>B8/20</f>
        <v>4.545454545454545</v>
      </c>
      <c r="N8" s="2">
        <f t="shared" si="6"/>
        <v>96.100466744457407</v>
      </c>
    </row>
    <row r="9" spans="1:14">
      <c r="A9" s="2" t="s">
        <v>33</v>
      </c>
      <c r="B9" s="1">
        <f t="shared" si="0"/>
        <v>90.909090909090907</v>
      </c>
      <c r="C9" s="2" t="s">
        <v>0</v>
      </c>
      <c r="D9" s="2">
        <f>20*33.7</f>
        <v>674</v>
      </c>
      <c r="E9" s="2" t="s">
        <v>2</v>
      </c>
      <c r="F9" s="2">
        <f>20*1237</f>
        <v>24740</v>
      </c>
      <c r="G9" s="2">
        <f t="shared" si="1"/>
        <v>27214</v>
      </c>
      <c r="H9" s="2">
        <f>AVERAGE(G9:G11)</f>
        <v>25226.666666666668</v>
      </c>
      <c r="I9" s="2">
        <f>G9/$H$9</f>
        <v>1.0787790697674418</v>
      </c>
      <c r="J9" s="2">
        <f t="shared" si="3"/>
        <v>98.070824524312883</v>
      </c>
      <c r="K9" s="3">
        <f t="shared" si="4"/>
        <v>6.8725842091080578</v>
      </c>
      <c r="M9" s="11">
        <f t="shared" si="5"/>
        <v>0.90909090909090906</v>
      </c>
      <c r="N9" s="2">
        <f t="shared" si="6"/>
        <v>68.72584209108058</v>
      </c>
    </row>
    <row r="10" spans="1:14">
      <c r="A10" s="2" t="s">
        <v>34</v>
      </c>
      <c r="B10" s="1">
        <f t="shared" si="0"/>
        <v>90.909090909090907</v>
      </c>
      <c r="C10" s="2" t="s">
        <v>0</v>
      </c>
      <c r="D10" s="2">
        <f>20*27.1</f>
        <v>542</v>
      </c>
      <c r="E10" s="2" t="s">
        <v>2</v>
      </c>
      <c r="F10" s="2">
        <f>20*841</f>
        <v>16820</v>
      </c>
      <c r="G10" s="2">
        <f t="shared" si="1"/>
        <v>18502</v>
      </c>
      <c r="I10" s="2">
        <f t="shared" ref="I10:I11" si="7">G10/$H$9</f>
        <v>0.73343023255813955</v>
      </c>
      <c r="J10" s="2">
        <f t="shared" si="3"/>
        <v>66.675475687103599</v>
      </c>
      <c r="K10" s="3">
        <f t="shared" si="4"/>
        <v>8.1289258818866426</v>
      </c>
      <c r="M10" s="11">
        <f t="shared" si="5"/>
        <v>0.90909090909090906</v>
      </c>
      <c r="N10" s="2">
        <f t="shared" si="6"/>
        <v>81.289258818866429</v>
      </c>
    </row>
    <row r="11" spans="1:14">
      <c r="A11" s="2" t="s">
        <v>35</v>
      </c>
      <c r="B11" s="1">
        <f t="shared" si="0"/>
        <v>90.909090909090907</v>
      </c>
      <c r="C11" s="2" t="s">
        <v>0</v>
      </c>
      <c r="D11" s="2">
        <f>20*41.7</f>
        <v>834</v>
      </c>
      <c r="E11" s="2" t="s">
        <v>2</v>
      </c>
      <c r="F11" s="2">
        <f>20*1362</f>
        <v>27240</v>
      </c>
      <c r="G11" s="2">
        <f t="shared" si="1"/>
        <v>29964</v>
      </c>
      <c r="I11" s="2">
        <f t="shared" si="7"/>
        <v>1.1877906976744186</v>
      </c>
      <c r="J11" s="2">
        <f t="shared" si="3"/>
        <v>107.98097251585624</v>
      </c>
      <c r="K11" s="3">
        <f t="shared" si="4"/>
        <v>7.7235829662261377</v>
      </c>
      <c r="M11" s="11">
        <f t="shared" si="5"/>
        <v>0.90909090909090906</v>
      </c>
      <c r="N11" s="2">
        <f t="shared" si="6"/>
        <v>77.235829662261381</v>
      </c>
    </row>
    <row r="12" spans="1:14" s="2" customFormat="1">
      <c r="A12" s="2" t="s">
        <v>43</v>
      </c>
      <c r="B12" s="1">
        <f t="shared" si="0"/>
        <v>90.909090909090907</v>
      </c>
      <c r="C12" s="2" t="s">
        <v>0</v>
      </c>
      <c r="D12" s="2">
        <f>20*21.9</f>
        <v>438</v>
      </c>
      <c r="E12" s="2" t="s">
        <v>2</v>
      </c>
      <c r="F12" s="2">
        <f>20*1303</f>
        <v>26060</v>
      </c>
      <c r="G12" s="2">
        <f t="shared" si="1"/>
        <v>28666</v>
      </c>
      <c r="H12" s="2">
        <f>AVERAGE(G12:G14)</f>
        <v>22440</v>
      </c>
      <c r="I12" s="2">
        <f>G12/$H$12</f>
        <v>1.2774509803921568</v>
      </c>
      <c r="J12" s="2">
        <f t="shared" si="3"/>
        <v>116.13190730837789</v>
      </c>
      <c r="K12" s="3">
        <f t="shared" si="4"/>
        <v>3.7715732924021492</v>
      </c>
      <c r="M12" s="11">
        <f t="shared" si="5"/>
        <v>0.90909090909090906</v>
      </c>
      <c r="N12" s="2">
        <f t="shared" si="6"/>
        <v>37.715732924021495</v>
      </c>
    </row>
    <row r="13" spans="1:14" s="2" customFormat="1">
      <c r="A13" s="2" t="s">
        <v>44</v>
      </c>
      <c r="B13" s="1">
        <f t="shared" si="0"/>
        <v>90.909090909090907</v>
      </c>
      <c r="C13" s="2" t="s">
        <v>0</v>
      </c>
      <c r="D13" s="2">
        <f>20*11.5</f>
        <v>230</v>
      </c>
      <c r="E13" s="2" t="s">
        <v>2</v>
      </c>
      <c r="F13" s="2">
        <f>20*943</f>
        <v>18860</v>
      </c>
      <c r="G13" s="2">
        <f t="shared" si="1"/>
        <v>20746</v>
      </c>
      <c r="I13" s="2">
        <f t="shared" ref="I13:I14" si="8">G13/$H$12</f>
        <v>0.92450980392156867</v>
      </c>
      <c r="J13" s="2">
        <f t="shared" si="3"/>
        <v>84.046345811051694</v>
      </c>
      <c r="K13" s="3">
        <f t="shared" si="4"/>
        <v>2.7365853658536583</v>
      </c>
      <c r="M13" s="11">
        <f t="shared" si="5"/>
        <v>0.90909090909090906</v>
      </c>
      <c r="N13" s="2">
        <f t="shared" si="6"/>
        <v>27.365853658536583</v>
      </c>
    </row>
    <row r="14" spans="1:14" s="2" customFormat="1">
      <c r="A14" s="2" t="s">
        <v>45</v>
      </c>
      <c r="B14" s="1">
        <f t="shared" si="0"/>
        <v>90.909090909090907</v>
      </c>
      <c r="C14" s="2" t="s">
        <v>0</v>
      </c>
      <c r="D14" s="2">
        <f>20*9.6</f>
        <v>192</v>
      </c>
      <c r="E14" s="2" t="s">
        <v>2</v>
      </c>
      <c r="F14" s="2">
        <f>20*814</f>
        <v>16280</v>
      </c>
      <c r="G14" s="2">
        <f t="shared" si="1"/>
        <v>17908</v>
      </c>
      <c r="I14" s="2">
        <f t="shared" si="8"/>
        <v>0.79803921568627456</v>
      </c>
      <c r="J14" s="2">
        <f t="shared" si="3"/>
        <v>72.549019607843135</v>
      </c>
      <c r="K14" s="3">
        <f t="shared" si="4"/>
        <v>2.6464864864864865</v>
      </c>
      <c r="M14" s="11">
        <f t="shared" si="5"/>
        <v>0.90909090909090906</v>
      </c>
      <c r="N14" s="2">
        <f t="shared" si="6"/>
        <v>26.464864864864865</v>
      </c>
    </row>
    <row r="15" spans="1:14">
      <c r="A15" s="2" t="s">
        <v>36</v>
      </c>
      <c r="B15" s="1">
        <f t="shared" si="0"/>
        <v>90.909090909090907</v>
      </c>
      <c r="C15" s="2" t="s">
        <v>0</v>
      </c>
      <c r="D15" s="2">
        <f>20*0.9</f>
        <v>18</v>
      </c>
      <c r="E15" s="2" t="s">
        <v>2</v>
      </c>
      <c r="F15" s="2">
        <f>20*768</f>
        <v>15360</v>
      </c>
      <c r="G15" s="2">
        <f t="shared" si="1"/>
        <v>16896</v>
      </c>
      <c r="H15" s="2">
        <f>AVERAGE(G15:G17)</f>
        <v>18377.333333333332</v>
      </c>
      <c r="I15" s="2">
        <f>G15/$H$15</f>
        <v>0.91939345570630493</v>
      </c>
      <c r="J15" s="2">
        <f t="shared" si="3"/>
        <v>83.581223246027719</v>
      </c>
      <c r="K15" s="3">
        <f>D15/J15</f>
        <v>0.21535937499999999</v>
      </c>
      <c r="M15" s="11">
        <f t="shared" si="5"/>
        <v>0.90909090909090906</v>
      </c>
      <c r="N15" s="2">
        <f t="shared" si="6"/>
        <v>2.1535937499999998</v>
      </c>
    </row>
    <row r="16" spans="1:14">
      <c r="A16" s="2" t="s">
        <v>37</v>
      </c>
      <c r="B16" s="1">
        <f t="shared" si="0"/>
        <v>90.909090909090907</v>
      </c>
      <c r="C16" s="2" t="s">
        <v>0</v>
      </c>
      <c r="D16" s="2">
        <f>20*0.8</f>
        <v>16</v>
      </c>
      <c r="E16" s="2" t="s">
        <v>2</v>
      </c>
      <c r="F16" s="2">
        <f>20*787</f>
        <v>15740</v>
      </c>
      <c r="G16" s="2">
        <f t="shared" si="1"/>
        <v>17314</v>
      </c>
      <c r="I16" s="2">
        <f t="shared" ref="I16:I17" si="9">G16/$H$15</f>
        <v>0.94213886671987235</v>
      </c>
      <c r="J16" s="2">
        <f t="shared" si="3"/>
        <v>85.648987883624756</v>
      </c>
      <c r="K16" s="3">
        <f t="shared" si="4"/>
        <v>0.18680897924608217</v>
      </c>
      <c r="M16" s="11">
        <f t="shared" si="5"/>
        <v>0.90909090909090906</v>
      </c>
      <c r="N16" s="2">
        <f t="shared" si="6"/>
        <v>1.8680897924608217</v>
      </c>
    </row>
    <row r="17" spans="1:14">
      <c r="A17" s="2" t="s">
        <v>38</v>
      </c>
      <c r="B17" s="1">
        <f t="shared" si="0"/>
        <v>90.909090909090907</v>
      </c>
      <c r="C17" s="2" t="s">
        <v>0</v>
      </c>
      <c r="D17" s="2">
        <f>20*2.2</f>
        <v>44</v>
      </c>
      <c r="E17" s="2" t="s">
        <v>2</v>
      </c>
      <c r="F17" s="2">
        <f>20*951</f>
        <v>19020</v>
      </c>
      <c r="G17" s="2">
        <f t="shared" si="1"/>
        <v>20922</v>
      </c>
      <c r="I17" s="2">
        <f t="shared" si="9"/>
        <v>1.1384676775738229</v>
      </c>
      <c r="J17" s="2">
        <f t="shared" si="3"/>
        <v>103.49706159762026</v>
      </c>
      <c r="K17" s="3">
        <f t="shared" si="4"/>
        <v>0.42513284262180162</v>
      </c>
      <c r="M17" s="11">
        <f t="shared" si="5"/>
        <v>0.90909090909090906</v>
      </c>
      <c r="N17" s="2">
        <f t="shared" si="6"/>
        <v>4.2513284262180164</v>
      </c>
    </row>
    <row r="18" spans="1:14">
      <c r="A18" s="2" t="s">
        <v>39</v>
      </c>
      <c r="B18" s="1">
        <f t="shared" si="0"/>
        <v>90.909090909090907</v>
      </c>
      <c r="C18" s="2" t="s">
        <v>0</v>
      </c>
      <c r="D18" s="2">
        <f>20*0.51</f>
        <v>10.199999999999999</v>
      </c>
      <c r="E18" s="2" t="s">
        <v>2</v>
      </c>
      <c r="F18" s="2">
        <f>20*1955</f>
        <v>39100</v>
      </c>
      <c r="G18" s="2">
        <f t="shared" si="1"/>
        <v>43010</v>
      </c>
      <c r="H18" s="2">
        <f>AVERAGE(G18:G20)</f>
        <v>47373.333333333336</v>
      </c>
      <c r="I18" s="2">
        <f>G18/$H$18</f>
        <v>0.9078947368421052</v>
      </c>
      <c r="J18" s="2">
        <f t="shared" si="3"/>
        <v>82.535885167464102</v>
      </c>
      <c r="K18" s="3">
        <f t="shared" si="4"/>
        <v>0.12358260869565219</v>
      </c>
      <c r="M18" s="11">
        <f t="shared" si="5"/>
        <v>0.90909090909090906</v>
      </c>
      <c r="N18" s="2">
        <f t="shared" si="6"/>
        <v>1.2358260869565219</v>
      </c>
    </row>
    <row r="19" spans="1:14">
      <c r="A19" s="2" t="s">
        <v>40</v>
      </c>
      <c r="B19" s="1">
        <f t="shared" si="0"/>
        <v>90.909090909090907</v>
      </c>
      <c r="C19" s="2" t="s">
        <v>0</v>
      </c>
      <c r="D19" s="2">
        <f>20*0</f>
        <v>0</v>
      </c>
      <c r="E19" s="2" t="s">
        <v>2</v>
      </c>
      <c r="F19" s="2">
        <f>20*2670</f>
        <v>53400</v>
      </c>
      <c r="G19" s="2">
        <f t="shared" si="1"/>
        <v>58740</v>
      </c>
      <c r="I19" s="2">
        <f t="shared" ref="I19:I20" si="10">G19/$H$18</f>
        <v>1.2399380804953559</v>
      </c>
      <c r="J19" s="2">
        <f t="shared" si="3"/>
        <v>112.72164368139599</v>
      </c>
      <c r="K19" s="3">
        <f t="shared" si="4"/>
        <v>0</v>
      </c>
      <c r="M19" s="11">
        <f t="shared" si="5"/>
        <v>0.90909090909090906</v>
      </c>
      <c r="N19" s="2">
        <f t="shared" si="6"/>
        <v>0</v>
      </c>
    </row>
    <row r="20" spans="1:14">
      <c r="A20" s="2" t="s">
        <v>41</v>
      </c>
      <c r="B20" s="1">
        <f t="shared" si="0"/>
        <v>90.909090909090907</v>
      </c>
      <c r="C20" s="2" t="s">
        <v>0</v>
      </c>
      <c r="D20" s="2">
        <f>20*1.4</f>
        <v>28</v>
      </c>
      <c r="E20" s="2" t="s">
        <v>2</v>
      </c>
      <c r="F20" s="2">
        <f>20*1835</f>
        <v>36700</v>
      </c>
      <c r="G20" s="2">
        <f t="shared" si="1"/>
        <v>40370</v>
      </c>
      <c r="I20" s="2">
        <f t="shared" si="10"/>
        <v>0.85216718266253866</v>
      </c>
      <c r="J20" s="2">
        <f t="shared" si="3"/>
        <v>77.469743878412601</v>
      </c>
      <c r="K20" s="3">
        <f t="shared" si="4"/>
        <v>0.36143142597638517</v>
      </c>
      <c r="M20" s="11">
        <f t="shared" si="5"/>
        <v>0.90909090909090906</v>
      </c>
      <c r="N20" s="2">
        <f t="shared" si="6"/>
        <v>3.6143142597638516</v>
      </c>
    </row>
    <row r="21" spans="1:14">
      <c r="I21" s="2"/>
      <c r="J21" s="2"/>
      <c r="K21" s="3"/>
      <c r="M21" s="11"/>
      <c r="N21" s="2"/>
    </row>
    <row r="22" spans="1:14">
      <c r="A22" s="2" t="s">
        <v>28</v>
      </c>
      <c r="B22" s="1">
        <v>0.90909090909090906</v>
      </c>
      <c r="C22" s="2" t="s">
        <v>3</v>
      </c>
      <c r="D22" s="2">
        <f>20*268</f>
        <v>5360</v>
      </c>
      <c r="E22" s="2" t="s">
        <v>2</v>
      </c>
      <c r="F22" s="2">
        <f>20*1782</f>
        <v>35640</v>
      </c>
      <c r="G22" s="2">
        <f t="shared" si="1"/>
        <v>39204</v>
      </c>
      <c r="H22" s="2">
        <f>AVERAGE(G22:G24)</f>
        <v>43391.333333333336</v>
      </c>
      <c r="I22" s="2">
        <f>G22/$H$22</f>
        <v>0.90349839445665026</v>
      </c>
      <c r="J22" s="2">
        <f t="shared" si="3"/>
        <v>0.82136217677877288</v>
      </c>
      <c r="K22" s="3">
        <f t="shared" si="4"/>
        <v>6525.7448559670793</v>
      </c>
      <c r="L22" s="2"/>
      <c r="M22" s="11">
        <v>0.90909090909090906</v>
      </c>
      <c r="N22" s="2">
        <f t="shared" si="6"/>
        <v>65257.448559670796</v>
      </c>
    </row>
    <row r="23" spans="1:14">
      <c r="A23" s="2" t="s">
        <v>29</v>
      </c>
      <c r="B23" s="1">
        <v>0.90909090909090906</v>
      </c>
      <c r="C23" s="2" t="s">
        <v>3</v>
      </c>
      <c r="D23" s="2">
        <f>20*288</f>
        <v>5760</v>
      </c>
      <c r="E23" s="2" t="s">
        <v>2</v>
      </c>
      <c r="F23" s="2">
        <f>20*1865</f>
        <v>37300</v>
      </c>
      <c r="G23" s="2">
        <f t="shared" si="1"/>
        <v>41030</v>
      </c>
      <c r="H23" s="2"/>
      <c r="I23" s="2">
        <f t="shared" ref="I23:I24" si="11">G23/$H$22</f>
        <v>0.94558053067432812</v>
      </c>
      <c r="J23" s="2">
        <f t="shared" si="3"/>
        <v>0.85961866424938915</v>
      </c>
      <c r="K23" s="3">
        <f t="shared" si="4"/>
        <v>6700.6455764075081</v>
      </c>
      <c r="L23" s="2"/>
      <c r="M23" s="11">
        <v>0.90909090909090906</v>
      </c>
      <c r="N23" s="2">
        <f t="shared" si="6"/>
        <v>67006.455764075086</v>
      </c>
    </row>
    <row r="24" spans="1:14">
      <c r="A24" s="2" t="s">
        <v>30</v>
      </c>
      <c r="B24" s="1">
        <v>0.90909090909090906</v>
      </c>
      <c r="C24" s="2" t="s">
        <v>3</v>
      </c>
      <c r="D24" s="2">
        <f>20*361</f>
        <v>7220</v>
      </c>
      <c r="E24" s="2" t="s">
        <v>2</v>
      </c>
      <c r="F24" s="2">
        <f>20*2270</f>
        <v>45400</v>
      </c>
      <c r="G24" s="2">
        <f t="shared" si="1"/>
        <v>49940.000000000007</v>
      </c>
      <c r="H24" s="2"/>
      <c r="I24" s="2">
        <f t="shared" si="11"/>
        <v>1.1509210748690215</v>
      </c>
      <c r="J24" s="2">
        <f t="shared" si="3"/>
        <v>1.0462918862445649</v>
      </c>
      <c r="K24" s="3">
        <f t="shared" si="4"/>
        <v>6900.5600587371518</v>
      </c>
      <c r="L24" s="2"/>
      <c r="M24" s="11">
        <v>0.90909090909090895</v>
      </c>
      <c r="N24" s="2">
        <f t="shared" si="6"/>
        <v>69005.600587371518</v>
      </c>
    </row>
    <row r="25" spans="1:14">
      <c r="A25" s="4" t="s">
        <v>31</v>
      </c>
      <c r="B25" s="1">
        <f>90.9090909090909/20</f>
        <v>4.545454545454545</v>
      </c>
      <c r="C25" s="2" t="s">
        <v>3</v>
      </c>
      <c r="D25" s="2">
        <f>20*504</f>
        <v>10080</v>
      </c>
      <c r="E25" s="2" t="s">
        <v>2</v>
      </c>
      <c r="F25" s="2">
        <f>20*913</f>
        <v>18260</v>
      </c>
      <c r="G25" s="2">
        <f t="shared" si="1"/>
        <v>4017.2000000000003</v>
      </c>
      <c r="H25" s="2">
        <f>AVERAGE(G25:G26)</f>
        <v>3894</v>
      </c>
      <c r="I25" s="2">
        <f>G25/$H$25</f>
        <v>1.0316384180790961</v>
      </c>
      <c r="J25" s="2">
        <f t="shared" si="3"/>
        <v>4.6892655367231635</v>
      </c>
      <c r="K25" s="3">
        <f t="shared" si="4"/>
        <v>2149.5903614457834</v>
      </c>
      <c r="L25" s="2"/>
      <c r="M25" s="11">
        <v>4.545454545454545</v>
      </c>
      <c r="N25" s="2">
        <f t="shared" si="6"/>
        <v>21495.903614457835</v>
      </c>
    </row>
    <row r="26" spans="1:14">
      <c r="A26" s="4" t="s">
        <v>32</v>
      </c>
      <c r="B26" s="1">
        <f>90.9090909090909/20</f>
        <v>4.545454545454545</v>
      </c>
      <c r="C26" s="2" t="s">
        <v>3</v>
      </c>
      <c r="D26" s="2">
        <f>20*508</f>
        <v>10160</v>
      </c>
      <c r="E26" s="2" t="s">
        <v>2</v>
      </c>
      <c r="F26" s="2">
        <f>20*857</f>
        <v>17140</v>
      </c>
      <c r="G26" s="2">
        <f t="shared" si="1"/>
        <v>3770.8</v>
      </c>
      <c r="H26" s="2"/>
      <c r="I26" s="2">
        <f>G26/$H$25</f>
        <v>0.96836158192090405</v>
      </c>
      <c r="J26" s="2">
        <f t="shared" si="3"/>
        <v>4.4016435541859273</v>
      </c>
      <c r="K26" s="3">
        <f t="shared" si="4"/>
        <v>2308.2287047841305</v>
      </c>
      <c r="L26" s="2"/>
      <c r="M26" s="11">
        <v>4.545454545454545</v>
      </c>
      <c r="N26" s="2">
        <f t="shared" si="6"/>
        <v>23082.287047841306</v>
      </c>
    </row>
    <row r="27" spans="1:14">
      <c r="A27" s="2" t="s">
        <v>33</v>
      </c>
      <c r="B27" s="1">
        <v>0.90909090909090906</v>
      </c>
      <c r="C27" s="2" t="s">
        <v>3</v>
      </c>
      <c r="D27" s="2">
        <f>20*99</f>
        <v>1980</v>
      </c>
      <c r="E27" s="2" t="s">
        <v>2</v>
      </c>
      <c r="F27" s="2">
        <f>20*1238</f>
        <v>24760</v>
      </c>
      <c r="G27" s="2">
        <f t="shared" si="1"/>
        <v>27236</v>
      </c>
      <c r="H27" s="2">
        <f>AVERAGE(G27:G29)</f>
        <v>25219.333333333332</v>
      </c>
      <c r="I27" s="2">
        <f>G27/$H$27</f>
        <v>1.0799651061355044</v>
      </c>
      <c r="J27" s="2">
        <f t="shared" si="3"/>
        <v>0.98178646012318582</v>
      </c>
      <c r="K27" s="3">
        <f t="shared" si="4"/>
        <v>2016.7318255250407</v>
      </c>
      <c r="L27" s="2"/>
      <c r="M27" s="11">
        <v>0.90909090909090906</v>
      </c>
      <c r="N27" s="2">
        <f t="shared" si="6"/>
        <v>20167.318255250408</v>
      </c>
    </row>
    <row r="28" spans="1:14">
      <c r="A28" s="2" t="s">
        <v>34</v>
      </c>
      <c r="B28" s="1">
        <v>0.90909090909090906</v>
      </c>
      <c r="C28" s="2" t="s">
        <v>3</v>
      </c>
      <c r="D28" s="2">
        <f>20*69.4</f>
        <v>1388</v>
      </c>
      <c r="E28" s="2" t="s">
        <v>2</v>
      </c>
      <c r="F28" s="2">
        <f>20*840</f>
        <v>16800</v>
      </c>
      <c r="G28" s="2">
        <f t="shared" si="1"/>
        <v>18480</v>
      </c>
      <c r="I28" s="2">
        <f t="shared" ref="I28:I29" si="12">G28/$H$27</f>
        <v>0.73277115440535046</v>
      </c>
      <c r="J28" s="2">
        <f t="shared" si="3"/>
        <v>0.66615559491395493</v>
      </c>
      <c r="K28" s="3">
        <f t="shared" si="4"/>
        <v>2083.5973015873014</v>
      </c>
      <c r="L28" s="2"/>
      <c r="M28" s="11">
        <v>0.90909090909090906</v>
      </c>
      <c r="N28" s="2">
        <f t="shared" si="6"/>
        <v>20835.973015873016</v>
      </c>
    </row>
    <row r="29" spans="1:14">
      <c r="A29" s="2" t="s">
        <v>35</v>
      </c>
      <c r="B29" s="1">
        <v>0.90909090909090906</v>
      </c>
      <c r="C29" s="2" t="s">
        <v>3</v>
      </c>
      <c r="D29" s="2">
        <f>20*134</f>
        <v>2680</v>
      </c>
      <c r="E29" s="2" t="s">
        <v>2</v>
      </c>
      <c r="F29" s="2">
        <f>20*1361</f>
        <v>27220</v>
      </c>
      <c r="G29" s="2">
        <f t="shared" si="1"/>
        <v>29942</v>
      </c>
      <c r="H29" s="2"/>
      <c r="I29" s="2">
        <f t="shared" si="12"/>
        <v>1.1872637394591452</v>
      </c>
      <c r="J29" s="2">
        <f t="shared" si="3"/>
        <v>1.0793306722355864</v>
      </c>
      <c r="K29" s="3">
        <f t="shared" si="4"/>
        <v>2483.0203281900563</v>
      </c>
      <c r="L29" s="2"/>
      <c r="M29" s="11">
        <v>0.90909090909090906</v>
      </c>
      <c r="N29" s="2">
        <f t="shared" si="6"/>
        <v>24830.203281900562</v>
      </c>
    </row>
    <row r="30" spans="1:14">
      <c r="A30" s="2" t="s">
        <v>43</v>
      </c>
      <c r="B30" s="1">
        <v>0.90909090909090906</v>
      </c>
      <c r="C30" s="2" t="s">
        <v>3</v>
      </c>
      <c r="D30" s="2">
        <f>20*177</f>
        <v>3540</v>
      </c>
      <c r="E30" s="2" t="s">
        <v>2</v>
      </c>
      <c r="F30" s="2">
        <f>20*1303</f>
        <v>26060</v>
      </c>
      <c r="G30" s="2">
        <f t="shared" si="1"/>
        <v>28666</v>
      </c>
      <c r="H30" s="2">
        <f>AVERAGE(G30:G32)</f>
        <v>22440</v>
      </c>
      <c r="I30" s="2">
        <f>G30/$H$30</f>
        <v>1.2774509803921568</v>
      </c>
      <c r="J30" s="2">
        <f t="shared" si="3"/>
        <v>1.1613190730837788</v>
      </c>
      <c r="K30" s="3">
        <f t="shared" si="4"/>
        <v>3048.2578664620114</v>
      </c>
      <c r="L30" s="2"/>
      <c r="M30" s="11">
        <v>0.90909090909090906</v>
      </c>
      <c r="N30" s="2">
        <f t="shared" si="6"/>
        <v>30482.578664620116</v>
      </c>
    </row>
    <row r="31" spans="1:14">
      <c r="A31" s="2" t="s">
        <v>44</v>
      </c>
      <c r="B31" s="1">
        <v>0.90909090909090906</v>
      </c>
      <c r="C31" s="2" t="s">
        <v>3</v>
      </c>
      <c r="D31" s="2">
        <f>20*113</f>
        <v>2260</v>
      </c>
      <c r="E31" s="2" t="s">
        <v>2</v>
      </c>
      <c r="F31" s="2">
        <f>20*943</f>
        <v>18860</v>
      </c>
      <c r="G31" s="2">
        <f t="shared" si="1"/>
        <v>20746</v>
      </c>
      <c r="H31" s="2"/>
      <c r="I31" s="2">
        <f t="shared" ref="I31:I32" si="13">G31/$H$30</f>
        <v>0.92450980392156867</v>
      </c>
      <c r="J31" s="2">
        <f t="shared" si="3"/>
        <v>0.84046345811051693</v>
      </c>
      <c r="K31" s="3">
        <f t="shared" si="4"/>
        <v>2688.9925768822905</v>
      </c>
      <c r="L31" s="2"/>
      <c r="M31" s="11">
        <v>0.90909090909090906</v>
      </c>
      <c r="N31" s="2">
        <f t="shared" si="6"/>
        <v>26889.925768822905</v>
      </c>
    </row>
    <row r="32" spans="1:14">
      <c r="A32" s="2" t="s">
        <v>45</v>
      </c>
      <c r="B32" s="1">
        <v>0.90909090909090906</v>
      </c>
      <c r="C32" s="2" t="s">
        <v>3</v>
      </c>
      <c r="D32" s="2">
        <f>20*94</f>
        <v>1880</v>
      </c>
      <c r="E32" s="2" t="s">
        <v>2</v>
      </c>
      <c r="F32" s="2">
        <f>20*814</f>
        <v>16280</v>
      </c>
      <c r="G32" s="2">
        <f t="shared" si="1"/>
        <v>17908</v>
      </c>
      <c r="H32" s="2"/>
      <c r="I32" s="2">
        <f t="shared" si="13"/>
        <v>0.79803921568627456</v>
      </c>
      <c r="J32" s="2">
        <f t="shared" si="3"/>
        <v>0.72549019607843135</v>
      </c>
      <c r="K32" s="3">
        <f t="shared" si="4"/>
        <v>2591.3513513513512</v>
      </c>
      <c r="L32" s="2"/>
      <c r="M32" s="11">
        <v>0.90909090909090906</v>
      </c>
      <c r="N32" s="2">
        <f t="shared" si="6"/>
        <v>25913.513513513513</v>
      </c>
    </row>
    <row r="33" spans="1:14">
      <c r="A33" s="2" t="s">
        <v>36</v>
      </c>
      <c r="B33" s="1">
        <v>90.909090909090907</v>
      </c>
      <c r="C33" s="2" t="s">
        <v>3</v>
      </c>
      <c r="D33" s="2">
        <f>20*3.4</f>
        <v>68</v>
      </c>
      <c r="E33" s="2" t="s">
        <v>2</v>
      </c>
      <c r="F33" s="2">
        <f>20*768</f>
        <v>15360</v>
      </c>
      <c r="G33" s="2">
        <f t="shared" si="1"/>
        <v>16896</v>
      </c>
      <c r="H33" s="2">
        <f>AVERAGE(G33:G35)</f>
        <v>18377.333333333332</v>
      </c>
      <c r="I33" s="2">
        <f>G33/$H$33</f>
        <v>0.91939345570630493</v>
      </c>
      <c r="J33" s="2">
        <f t="shared" si="3"/>
        <v>83.581223246027719</v>
      </c>
      <c r="K33" s="3">
        <f t="shared" si="4"/>
        <v>0.81357986111111102</v>
      </c>
      <c r="L33" s="2"/>
      <c r="M33" s="11">
        <v>0.90909090909090906</v>
      </c>
      <c r="N33" s="2">
        <f t="shared" si="6"/>
        <v>8.1357986111111096</v>
      </c>
    </row>
    <row r="34" spans="1:14">
      <c r="A34" s="2" t="s">
        <v>37</v>
      </c>
      <c r="B34" s="1">
        <v>90.909090909090907</v>
      </c>
      <c r="C34" s="2" t="s">
        <v>3</v>
      </c>
      <c r="D34" s="2">
        <f>20*4.8</f>
        <v>96</v>
      </c>
      <c r="E34" s="2" t="s">
        <v>2</v>
      </c>
      <c r="F34" s="2">
        <f>20*787</f>
        <v>15740</v>
      </c>
      <c r="G34" s="2">
        <f t="shared" si="1"/>
        <v>17314</v>
      </c>
      <c r="H34" s="2"/>
      <c r="I34" s="2">
        <f t="shared" ref="I34:I35" si="14">G34/$H$33</f>
        <v>0.94213886671987235</v>
      </c>
      <c r="J34" s="2">
        <f t="shared" si="3"/>
        <v>85.648987883624756</v>
      </c>
      <c r="K34" s="3">
        <f t="shared" si="4"/>
        <v>1.120853875476493</v>
      </c>
      <c r="L34" s="2"/>
      <c r="M34" s="11">
        <v>0.90909090909090906</v>
      </c>
      <c r="N34" s="2">
        <f t="shared" si="6"/>
        <v>11.20853875476493</v>
      </c>
    </row>
    <row r="35" spans="1:14">
      <c r="A35" s="2" t="s">
        <v>38</v>
      </c>
      <c r="B35" s="1">
        <v>90.909090909090907</v>
      </c>
      <c r="C35" s="2" t="s">
        <v>3</v>
      </c>
      <c r="D35" s="2">
        <f>20*5.7</f>
        <v>114</v>
      </c>
      <c r="E35" s="2" t="s">
        <v>2</v>
      </c>
      <c r="F35" s="2">
        <f>20*951</f>
        <v>19020</v>
      </c>
      <c r="G35" s="2">
        <f t="shared" si="1"/>
        <v>20922</v>
      </c>
      <c r="H35" s="2"/>
      <c r="I35" s="2">
        <f t="shared" si="14"/>
        <v>1.1384676775738229</v>
      </c>
      <c r="J35" s="2">
        <f t="shared" si="3"/>
        <v>103.49706159762026</v>
      </c>
      <c r="K35" s="3">
        <f t="shared" si="4"/>
        <v>1.1014805467928497</v>
      </c>
      <c r="L35" s="2"/>
      <c r="M35" s="11">
        <v>0.90909090909090906</v>
      </c>
      <c r="N35" s="2">
        <f t="shared" si="6"/>
        <v>11.014805467928497</v>
      </c>
    </row>
    <row r="36" spans="1:14">
      <c r="A36" s="2" t="s">
        <v>39</v>
      </c>
      <c r="B36" s="1">
        <f>90.9090909090909/5</f>
        <v>18.18181818181818</v>
      </c>
      <c r="C36" s="2" t="s">
        <v>3</v>
      </c>
      <c r="D36" s="2">
        <f>20*19.2</f>
        <v>384</v>
      </c>
      <c r="E36" s="2" t="s">
        <v>2</v>
      </c>
      <c r="F36" s="2">
        <f>20*1955</f>
        <v>39100</v>
      </c>
      <c r="G36" s="2">
        <f t="shared" si="1"/>
        <v>43010</v>
      </c>
      <c r="H36" s="2">
        <f>AVERAGE(G36:G38)</f>
        <v>47373.333333333336</v>
      </c>
      <c r="I36" s="2">
        <f>G36/$H$36</f>
        <v>0.9078947368421052</v>
      </c>
      <c r="J36" s="2">
        <f t="shared" si="3"/>
        <v>16.50717703349282</v>
      </c>
      <c r="K36" s="3">
        <f t="shared" si="4"/>
        <v>23.26260869565218</v>
      </c>
      <c r="L36" s="2"/>
      <c r="M36" s="11">
        <v>0.90909090909090906</v>
      </c>
      <c r="N36" s="2">
        <f t="shared" si="6"/>
        <v>232.62608695652179</v>
      </c>
    </row>
    <row r="37" spans="1:14">
      <c r="A37" s="2" t="s">
        <v>40</v>
      </c>
      <c r="B37" s="1">
        <f t="shared" ref="B37:B38" si="15">90.9090909090909/5</f>
        <v>18.18181818181818</v>
      </c>
      <c r="C37" s="2" t="s">
        <v>3</v>
      </c>
      <c r="D37" s="2">
        <f>20*20.1</f>
        <v>402</v>
      </c>
      <c r="E37" s="2" t="s">
        <v>2</v>
      </c>
      <c r="F37" s="2">
        <f>20*2670</f>
        <v>53400</v>
      </c>
      <c r="G37" s="2">
        <f t="shared" si="1"/>
        <v>58740</v>
      </c>
      <c r="H37" s="2"/>
      <c r="I37" s="2">
        <f t="shared" ref="I37:I38" si="16">G37/$H$36</f>
        <v>1.2399380804953559</v>
      </c>
      <c r="J37" s="2">
        <f t="shared" si="3"/>
        <v>22.544328736279198</v>
      </c>
      <c r="K37" s="3">
        <f t="shared" si="4"/>
        <v>17.831535580524346</v>
      </c>
      <c r="L37" s="2"/>
      <c r="M37" s="11">
        <v>0.90909090909090906</v>
      </c>
      <c r="N37" s="2">
        <f t="shared" si="6"/>
        <v>178.31535580524346</v>
      </c>
    </row>
    <row r="38" spans="1:14">
      <c r="A38" s="2" t="s">
        <v>41</v>
      </c>
      <c r="B38" s="1">
        <f t="shared" si="15"/>
        <v>18.18181818181818</v>
      </c>
      <c r="C38" s="2" t="s">
        <v>3</v>
      </c>
      <c r="D38" s="2">
        <f>20*17.4</f>
        <v>348</v>
      </c>
      <c r="E38" s="2" t="s">
        <v>2</v>
      </c>
      <c r="F38" s="2">
        <f>20*1835</f>
        <v>36700</v>
      </c>
      <c r="G38" s="2">
        <f t="shared" si="1"/>
        <v>40370</v>
      </c>
      <c r="H38" s="2"/>
      <c r="I38" s="2">
        <f t="shared" si="16"/>
        <v>0.85216718266253866</v>
      </c>
      <c r="J38" s="2">
        <f t="shared" si="3"/>
        <v>15.493948775682519</v>
      </c>
      <c r="K38" s="3">
        <f t="shared" si="4"/>
        <v>22.460381471389649</v>
      </c>
      <c r="L38" s="2"/>
      <c r="M38" s="11">
        <v>0.90909090909090906</v>
      </c>
      <c r="N38" s="2">
        <f t="shared" si="6"/>
        <v>224.6038147138965</v>
      </c>
    </row>
    <row r="39" spans="1:14" s="2" customFormat="1">
      <c r="B39" s="1"/>
      <c r="K39" s="3"/>
      <c r="M39" s="11"/>
    </row>
    <row r="40" spans="1:14">
      <c r="A40" s="17" t="s">
        <v>55</v>
      </c>
      <c r="B40" s="1"/>
      <c r="C40" s="2"/>
      <c r="K40" s="3"/>
      <c r="M40" s="11"/>
      <c r="N40" s="2"/>
    </row>
    <row r="41" spans="1:14">
      <c r="A41" s="2" t="s">
        <v>48</v>
      </c>
      <c r="B41" s="1">
        <f t="shared" ref="B41:B46" si="17">(500/22)*4</f>
        <v>90.909090909090907</v>
      </c>
      <c r="C41" s="2" t="s">
        <v>0</v>
      </c>
      <c r="D41" s="2">
        <f>20*85</f>
        <v>1700</v>
      </c>
      <c r="E41" s="2" t="s">
        <v>2</v>
      </c>
      <c r="F41" s="2">
        <f>20*2650</f>
        <v>53000</v>
      </c>
      <c r="G41" s="2">
        <f>F41/M41</f>
        <v>58300</v>
      </c>
      <c r="H41" s="2">
        <f>AVERAGE(G41:G43)</f>
        <v>58153.333333333336</v>
      </c>
      <c r="I41" s="2">
        <f>G41/$H$41</f>
        <v>1.0025220680958384</v>
      </c>
      <c r="J41" s="2">
        <f t="shared" ref="J41:J67" si="18">B41*I41</f>
        <v>91.138369826894404</v>
      </c>
      <c r="K41" s="3">
        <f t="shared" ref="K41:K67" si="19">D41/J41</f>
        <v>18.652955974842769</v>
      </c>
      <c r="M41" s="11">
        <v>0.90909090909090906</v>
      </c>
      <c r="N41" s="2">
        <f t="shared" ref="N41:N96" si="20">10*K41</f>
        <v>186.52955974842769</v>
      </c>
    </row>
    <row r="42" spans="1:14">
      <c r="A42" s="2" t="s">
        <v>49</v>
      </c>
      <c r="B42" s="1">
        <f t="shared" si="17"/>
        <v>90.909090909090907</v>
      </c>
      <c r="C42" s="2" t="s">
        <v>0</v>
      </c>
      <c r="D42" s="2">
        <f>20*94</f>
        <v>1880</v>
      </c>
      <c r="E42" s="2" t="s">
        <v>2</v>
      </c>
      <c r="F42" s="2">
        <f>20*2450</f>
        <v>49000</v>
      </c>
      <c r="G42" s="2">
        <f t="shared" ref="G42:G46" si="21">F42/M42</f>
        <v>53900</v>
      </c>
      <c r="I42" s="2">
        <f t="shared" ref="I42:I43" si="22">G42/$H$41</f>
        <v>0.92686002522068089</v>
      </c>
      <c r="J42" s="2">
        <f t="shared" si="18"/>
        <v>84.260002292789167</v>
      </c>
      <c r="K42" s="3">
        <f t="shared" si="19"/>
        <v>22.311891156462586</v>
      </c>
      <c r="M42" s="11">
        <v>0.90909090909090906</v>
      </c>
      <c r="N42" s="2">
        <f t="shared" si="20"/>
        <v>223.11891156462588</v>
      </c>
    </row>
    <row r="43" spans="1:14">
      <c r="A43" s="2" t="s">
        <v>50</v>
      </c>
      <c r="B43" s="1">
        <f t="shared" si="17"/>
        <v>90.909090909090907</v>
      </c>
      <c r="C43" s="2" t="s">
        <v>0</v>
      </c>
      <c r="D43" s="2">
        <f>20*105</f>
        <v>2100</v>
      </c>
      <c r="E43" s="2" t="s">
        <v>2</v>
      </c>
      <c r="F43" s="2">
        <f>20*2830</f>
        <v>56600</v>
      </c>
      <c r="G43" s="2">
        <f t="shared" si="21"/>
        <v>62260</v>
      </c>
      <c r="I43" s="2">
        <f t="shared" si="22"/>
        <v>1.0706179066834804</v>
      </c>
      <c r="J43" s="2">
        <f t="shared" si="18"/>
        <v>97.328900607589134</v>
      </c>
      <c r="K43" s="3">
        <f t="shared" si="19"/>
        <v>21.576325088339221</v>
      </c>
      <c r="M43" s="11">
        <v>0.90909090909090906</v>
      </c>
      <c r="N43" s="2">
        <f t="shared" si="20"/>
        <v>215.7632508833922</v>
      </c>
    </row>
    <row r="44" spans="1:14">
      <c r="A44" s="2" t="s">
        <v>51</v>
      </c>
      <c r="B44" s="1">
        <f t="shared" si="17"/>
        <v>90.909090909090907</v>
      </c>
      <c r="C44" s="2" t="s">
        <v>0</v>
      </c>
      <c r="D44" s="2">
        <f>20*53</f>
        <v>1060</v>
      </c>
      <c r="E44" s="2" t="s">
        <v>2</v>
      </c>
      <c r="F44" s="2">
        <f>20*2500</f>
        <v>50000</v>
      </c>
      <c r="G44" s="2">
        <f t="shared" si="21"/>
        <v>55000</v>
      </c>
      <c r="H44" s="2">
        <f>AVERAGE(G44:G46)</f>
        <v>55000</v>
      </c>
      <c r="I44" s="2">
        <f>G44/$H$44</f>
        <v>1</v>
      </c>
      <c r="J44" s="2">
        <f t="shared" si="18"/>
        <v>90.909090909090907</v>
      </c>
      <c r="K44" s="3">
        <f t="shared" si="19"/>
        <v>11.66</v>
      </c>
      <c r="M44" s="11">
        <v>0.90909090909090906</v>
      </c>
      <c r="N44" s="2">
        <f t="shared" si="20"/>
        <v>116.6</v>
      </c>
    </row>
    <row r="45" spans="1:14">
      <c r="A45" s="2" t="s">
        <v>52</v>
      </c>
      <c r="B45" s="1">
        <f t="shared" si="17"/>
        <v>90.909090909090907</v>
      </c>
      <c r="C45" s="2" t="s">
        <v>0</v>
      </c>
      <c r="D45" s="2">
        <f>20*46.6</f>
        <v>932</v>
      </c>
      <c r="E45" s="2" t="s">
        <v>2</v>
      </c>
      <c r="F45" s="2">
        <f>20*2680</f>
        <v>53600</v>
      </c>
      <c r="G45" s="2">
        <f t="shared" si="21"/>
        <v>58960</v>
      </c>
      <c r="I45" s="2">
        <f t="shared" ref="I45:I46" si="23">G45/$H$44</f>
        <v>1.0720000000000001</v>
      </c>
      <c r="J45" s="2">
        <f t="shared" si="18"/>
        <v>97.454545454545453</v>
      </c>
      <c r="K45" s="3">
        <f t="shared" si="19"/>
        <v>9.5634328358208958</v>
      </c>
      <c r="M45" s="11">
        <v>0.90909090909090906</v>
      </c>
      <c r="N45" s="2">
        <f t="shared" si="20"/>
        <v>95.634328358208961</v>
      </c>
    </row>
    <row r="46" spans="1:14">
      <c r="A46" s="2" t="s">
        <v>53</v>
      </c>
      <c r="B46" s="1">
        <f t="shared" si="17"/>
        <v>90.909090909090907</v>
      </c>
      <c r="C46" s="2" t="s">
        <v>0</v>
      </c>
      <c r="D46" s="2">
        <f>20*48.3</f>
        <v>966</v>
      </c>
      <c r="E46" s="2" t="s">
        <v>2</v>
      </c>
      <c r="F46" s="2">
        <f>20*2320</f>
        <v>46400</v>
      </c>
      <c r="G46" s="2">
        <f t="shared" si="21"/>
        <v>51040</v>
      </c>
      <c r="I46" s="2">
        <f t="shared" si="23"/>
        <v>0.92800000000000005</v>
      </c>
      <c r="J46" s="2">
        <f t="shared" si="18"/>
        <v>84.36363636363636</v>
      </c>
      <c r="K46" s="3">
        <f t="shared" si="19"/>
        <v>11.45043103448276</v>
      </c>
      <c r="M46" s="11">
        <v>0.90909090909090906</v>
      </c>
      <c r="N46" s="2">
        <f t="shared" si="20"/>
        <v>114.5043103448276</v>
      </c>
    </row>
    <row r="47" spans="1:14" s="2" customFormat="1">
      <c r="K47" s="3"/>
      <c r="M47" s="11"/>
    </row>
    <row r="48" spans="1:14" s="2" customFormat="1">
      <c r="A48" s="2" t="s">
        <v>48</v>
      </c>
      <c r="B48" s="12">
        <v>0.90909090909090906</v>
      </c>
      <c r="C48" s="2" t="s">
        <v>3</v>
      </c>
      <c r="D48" s="2">
        <f>20*315</f>
        <v>6300</v>
      </c>
      <c r="E48" s="2" t="s">
        <v>2</v>
      </c>
      <c r="F48" s="2">
        <f>20*2510</f>
        <v>50200</v>
      </c>
      <c r="G48" s="2">
        <f>F48/M48</f>
        <v>55220</v>
      </c>
      <c r="H48" s="2">
        <f>AVERAGE(G48:G50)</f>
        <v>57126.666666666664</v>
      </c>
      <c r="I48" s="2">
        <f>G48/$H$48</f>
        <v>0.96662387676508343</v>
      </c>
      <c r="J48" s="2">
        <f t="shared" si="18"/>
        <v>0.8787489788773486</v>
      </c>
      <c r="K48" s="3">
        <f t="shared" si="19"/>
        <v>7169.2828685258964</v>
      </c>
      <c r="M48" s="11">
        <v>0.90909090909090906</v>
      </c>
      <c r="N48" s="2">
        <f t="shared" si="20"/>
        <v>71692.828685258966</v>
      </c>
    </row>
    <row r="49" spans="1:14" s="2" customFormat="1">
      <c r="A49" s="2" t="s">
        <v>49</v>
      </c>
      <c r="B49" s="12">
        <v>0.90909090909090906</v>
      </c>
      <c r="C49" s="2" t="s">
        <v>3</v>
      </c>
      <c r="D49" s="2">
        <f>20*376</f>
        <v>7520</v>
      </c>
      <c r="E49" s="2" t="s">
        <v>2</v>
      </c>
      <c r="F49" s="2">
        <f>20*2450</f>
        <v>49000</v>
      </c>
      <c r="G49" s="2">
        <f t="shared" ref="G49:G53" si="24">F49/M49</f>
        <v>53900</v>
      </c>
      <c r="I49" s="2">
        <f t="shared" ref="I49:I50" si="25">G49/$H$48</f>
        <v>0.94351732991014126</v>
      </c>
      <c r="J49" s="2">
        <f t="shared" si="18"/>
        <v>0.85774302719103745</v>
      </c>
      <c r="K49" s="3">
        <f t="shared" si="19"/>
        <v>8767.1945578231298</v>
      </c>
      <c r="M49" s="11">
        <v>0.90909090909090906</v>
      </c>
      <c r="N49" s="2">
        <f t="shared" si="20"/>
        <v>87671.945578231302</v>
      </c>
    </row>
    <row r="50" spans="1:14" s="2" customFormat="1">
      <c r="A50" s="2" t="s">
        <v>50</v>
      </c>
      <c r="B50" s="12">
        <v>0.90909090909090895</v>
      </c>
      <c r="C50" s="2" t="s">
        <v>3</v>
      </c>
      <c r="D50" s="2">
        <f>20*428</f>
        <v>8560</v>
      </c>
      <c r="E50" s="2" t="s">
        <v>2</v>
      </c>
      <c r="F50" s="2">
        <f>20*2830</f>
        <v>56600</v>
      </c>
      <c r="G50" s="2">
        <f t="shared" si="24"/>
        <v>62260</v>
      </c>
      <c r="I50" s="2">
        <f t="shared" si="25"/>
        <v>1.0898587933247754</v>
      </c>
      <c r="J50" s="2">
        <f t="shared" si="18"/>
        <v>0.99078072120434113</v>
      </c>
      <c r="K50" s="3">
        <f t="shared" si="19"/>
        <v>8639.651354534748</v>
      </c>
      <c r="M50" s="11">
        <v>0.90909090909090906</v>
      </c>
      <c r="N50" s="2">
        <f t="shared" si="20"/>
        <v>86396.51354534748</v>
      </c>
    </row>
    <row r="51" spans="1:14" s="2" customFormat="1">
      <c r="A51" s="2" t="s">
        <v>51</v>
      </c>
      <c r="B51" s="12">
        <v>0.90909090909090895</v>
      </c>
      <c r="C51" s="2" t="s">
        <v>3</v>
      </c>
      <c r="D51" s="2">
        <f>20*176</f>
        <v>3520</v>
      </c>
      <c r="E51" s="2" t="s">
        <v>2</v>
      </c>
      <c r="F51" s="2">
        <f>20*2500</f>
        <v>50000</v>
      </c>
      <c r="G51" s="2">
        <f t="shared" si="24"/>
        <v>55000</v>
      </c>
      <c r="H51" s="2">
        <f>AVERAGE(G51:G53)</f>
        <v>55000</v>
      </c>
      <c r="I51" s="2">
        <f>G51/$H$51</f>
        <v>1</v>
      </c>
      <c r="J51" s="2">
        <f t="shared" si="18"/>
        <v>0.90909090909090895</v>
      </c>
      <c r="K51" s="3">
        <f t="shared" si="19"/>
        <v>3872.0000000000005</v>
      </c>
      <c r="M51" s="11">
        <v>0.90909090909090906</v>
      </c>
      <c r="N51" s="2">
        <f t="shared" si="20"/>
        <v>38720.000000000007</v>
      </c>
    </row>
    <row r="52" spans="1:14" s="2" customFormat="1">
      <c r="A52" s="2" t="s">
        <v>52</v>
      </c>
      <c r="B52" s="12">
        <v>0.90909090909090895</v>
      </c>
      <c r="C52" s="2" t="s">
        <v>3</v>
      </c>
      <c r="D52" s="2">
        <f>20*175</f>
        <v>3500</v>
      </c>
      <c r="E52" s="2" t="s">
        <v>2</v>
      </c>
      <c r="F52" s="2">
        <f>20*2680</f>
        <v>53600</v>
      </c>
      <c r="G52" s="2">
        <f t="shared" si="24"/>
        <v>58960</v>
      </c>
      <c r="I52" s="2">
        <f t="shared" ref="I52:I53" si="26">G52/$H$51</f>
        <v>1.0720000000000001</v>
      </c>
      <c r="J52" s="2">
        <f t="shared" si="18"/>
        <v>0.97454545454545449</v>
      </c>
      <c r="K52" s="3">
        <f t="shared" si="19"/>
        <v>3591.4179104477612</v>
      </c>
      <c r="M52" s="11">
        <v>0.90909090909090906</v>
      </c>
      <c r="N52" s="2">
        <f t="shared" si="20"/>
        <v>35914.179104477611</v>
      </c>
    </row>
    <row r="53" spans="1:14" s="2" customFormat="1">
      <c r="A53" s="2" t="s">
        <v>53</v>
      </c>
      <c r="B53" s="12">
        <v>0.90909090909090906</v>
      </c>
      <c r="C53" s="2" t="s">
        <v>3</v>
      </c>
      <c r="D53" s="2">
        <f>20*177</f>
        <v>3540</v>
      </c>
      <c r="E53" s="2" t="s">
        <v>2</v>
      </c>
      <c r="F53" s="2">
        <f>20*2320</f>
        <v>46400</v>
      </c>
      <c r="G53" s="2">
        <f t="shared" si="24"/>
        <v>51040</v>
      </c>
      <c r="I53" s="2">
        <f t="shared" si="26"/>
        <v>0.92800000000000005</v>
      </c>
      <c r="J53" s="2">
        <f t="shared" si="18"/>
        <v>0.84363636363636363</v>
      </c>
      <c r="K53" s="3">
        <f t="shared" si="19"/>
        <v>4196.1206896551721</v>
      </c>
      <c r="M53" s="11">
        <v>0.90909090909090906</v>
      </c>
      <c r="N53" s="2">
        <f t="shared" si="20"/>
        <v>41961.206896551725</v>
      </c>
    </row>
    <row r="54" spans="1:14" s="2" customFormat="1">
      <c r="K54" s="3"/>
      <c r="M54" s="11"/>
    </row>
    <row r="55" spans="1:14" s="2" customFormat="1">
      <c r="A55" s="2" t="s">
        <v>48</v>
      </c>
      <c r="B55" s="12">
        <v>0.90909090909090906</v>
      </c>
      <c r="C55" s="2" t="s">
        <v>4</v>
      </c>
      <c r="D55" s="4">
        <f>20*75</f>
        <v>1500</v>
      </c>
      <c r="E55" s="2" t="s">
        <v>2</v>
      </c>
      <c r="F55" s="2">
        <f>20*2510</f>
        <v>50200</v>
      </c>
      <c r="G55" s="2">
        <f>F55/M55</f>
        <v>55220</v>
      </c>
      <c r="H55" s="2">
        <f>AVERAGE(G55:G57)</f>
        <v>57126.666666666664</v>
      </c>
      <c r="I55" s="2">
        <f>G55/$H$55</f>
        <v>0.96662387676508343</v>
      </c>
      <c r="J55" s="2">
        <f t="shared" si="18"/>
        <v>0.8787489788773486</v>
      </c>
      <c r="K55" s="3">
        <f t="shared" si="19"/>
        <v>1706.9721115537848</v>
      </c>
      <c r="M55" s="11">
        <v>0.90909090909090906</v>
      </c>
      <c r="N55" s="2">
        <f t="shared" si="20"/>
        <v>17069.721115537846</v>
      </c>
    </row>
    <row r="56" spans="1:14" s="2" customFormat="1">
      <c r="A56" s="2" t="s">
        <v>49</v>
      </c>
      <c r="B56" s="12">
        <v>0.90909090909090906</v>
      </c>
      <c r="C56" s="2" t="s">
        <v>4</v>
      </c>
      <c r="D56" s="4">
        <f>20*82</f>
        <v>1640</v>
      </c>
      <c r="E56" s="2" t="s">
        <v>2</v>
      </c>
      <c r="F56" s="2">
        <f>20*2450</f>
        <v>49000</v>
      </c>
      <c r="G56" s="2">
        <f t="shared" ref="G56:G60" si="27">F56/M56</f>
        <v>53900</v>
      </c>
      <c r="I56" s="2">
        <f t="shared" ref="I56:I57" si="28">G56/$H$55</f>
        <v>0.94351732991014126</v>
      </c>
      <c r="J56" s="2">
        <f t="shared" si="18"/>
        <v>0.85774302719103745</v>
      </c>
      <c r="K56" s="3">
        <f t="shared" si="19"/>
        <v>1911.9945578231293</v>
      </c>
      <c r="M56" s="11">
        <v>0.90909090909090906</v>
      </c>
      <c r="N56" s="2">
        <f t="shared" si="20"/>
        <v>19119.945578231294</v>
      </c>
    </row>
    <row r="57" spans="1:14" s="2" customFormat="1">
      <c r="A57" s="2" t="s">
        <v>50</v>
      </c>
      <c r="B57" s="12">
        <v>0.90909090909090895</v>
      </c>
      <c r="C57" s="2" t="s">
        <v>4</v>
      </c>
      <c r="D57" s="4">
        <f>20*99</f>
        <v>1980</v>
      </c>
      <c r="E57" s="2" t="s">
        <v>2</v>
      </c>
      <c r="F57" s="2">
        <f>20*2830</f>
        <v>56600</v>
      </c>
      <c r="G57" s="2">
        <f t="shared" si="27"/>
        <v>62260</v>
      </c>
      <c r="I57" s="2">
        <f t="shared" si="28"/>
        <v>1.0898587933247754</v>
      </c>
      <c r="J57" s="2">
        <f t="shared" si="18"/>
        <v>0.99078072120434113</v>
      </c>
      <c r="K57" s="3">
        <f t="shared" si="19"/>
        <v>1998.4240282685514</v>
      </c>
      <c r="M57" s="11">
        <v>0.90909090909090906</v>
      </c>
      <c r="N57" s="2">
        <f t="shared" si="20"/>
        <v>19984.240282685514</v>
      </c>
    </row>
    <row r="58" spans="1:14" s="2" customFormat="1">
      <c r="A58" s="2" t="s">
        <v>51</v>
      </c>
      <c r="B58" s="12">
        <v>0.90909090909090895</v>
      </c>
      <c r="C58" s="2" t="s">
        <v>4</v>
      </c>
      <c r="D58" s="4">
        <f>20*101</f>
        <v>2020</v>
      </c>
      <c r="E58" s="2" t="s">
        <v>2</v>
      </c>
      <c r="F58" s="2">
        <f>20*2500</f>
        <v>50000</v>
      </c>
      <c r="G58" s="2">
        <f t="shared" si="27"/>
        <v>55000</v>
      </c>
      <c r="H58" s="2">
        <f>AVERAGE(G58:G60)</f>
        <v>55000</v>
      </c>
      <c r="I58" s="2">
        <f>G58/$H$58</f>
        <v>1</v>
      </c>
      <c r="J58" s="2">
        <f t="shared" si="18"/>
        <v>0.90909090909090895</v>
      </c>
      <c r="K58" s="3">
        <f t="shared" si="19"/>
        <v>2222.0000000000005</v>
      </c>
      <c r="M58" s="11">
        <v>0.90909090909090906</v>
      </c>
      <c r="N58" s="2">
        <f t="shared" si="20"/>
        <v>22220.000000000004</v>
      </c>
    </row>
    <row r="59" spans="1:14" s="2" customFormat="1">
      <c r="A59" s="2" t="s">
        <v>52</v>
      </c>
      <c r="B59" s="12">
        <v>0.90909090909090895</v>
      </c>
      <c r="C59" s="2" t="s">
        <v>4</v>
      </c>
      <c r="D59" s="4">
        <f>20*111</f>
        <v>2220</v>
      </c>
      <c r="E59" s="2" t="s">
        <v>2</v>
      </c>
      <c r="F59" s="2">
        <f>20*2680</f>
        <v>53600</v>
      </c>
      <c r="G59" s="2">
        <f t="shared" si="27"/>
        <v>58960</v>
      </c>
      <c r="I59" s="2">
        <f t="shared" ref="I59:I60" si="29">G59/$H$58</f>
        <v>1.0720000000000001</v>
      </c>
      <c r="J59" s="2">
        <f t="shared" si="18"/>
        <v>0.97454545454545449</v>
      </c>
      <c r="K59" s="3">
        <f t="shared" si="19"/>
        <v>2277.9850746268658</v>
      </c>
      <c r="M59" s="11">
        <v>0.90909090909090906</v>
      </c>
      <c r="N59" s="2">
        <f t="shared" si="20"/>
        <v>22779.850746268658</v>
      </c>
    </row>
    <row r="60" spans="1:14" s="2" customFormat="1">
      <c r="A60" s="2" t="s">
        <v>53</v>
      </c>
      <c r="B60" s="12">
        <v>0.90909090909090906</v>
      </c>
      <c r="C60" s="2" t="s">
        <v>4</v>
      </c>
      <c r="D60" s="4">
        <f>20*97</f>
        <v>1940</v>
      </c>
      <c r="E60" s="2" t="s">
        <v>2</v>
      </c>
      <c r="F60" s="2">
        <f>20*2320</f>
        <v>46400</v>
      </c>
      <c r="G60" s="2">
        <f t="shared" si="27"/>
        <v>51040</v>
      </c>
      <c r="I60" s="2">
        <f t="shared" si="29"/>
        <v>0.92800000000000005</v>
      </c>
      <c r="J60" s="2">
        <f t="shared" si="18"/>
        <v>0.84363636363636363</v>
      </c>
      <c r="K60" s="3">
        <f t="shared" si="19"/>
        <v>2299.5689655172414</v>
      </c>
      <c r="M60" s="11">
        <v>0.90909090909090906</v>
      </c>
      <c r="N60" s="2">
        <f t="shared" si="20"/>
        <v>22995.689655172413</v>
      </c>
    </row>
    <row r="61" spans="1:14" s="2" customFormat="1">
      <c r="K61" s="3"/>
      <c r="M61" s="11"/>
    </row>
    <row r="62" spans="1:14" s="2" customFormat="1">
      <c r="A62" s="2" t="s">
        <v>48</v>
      </c>
      <c r="B62" s="12">
        <v>0.90909090909090906</v>
      </c>
      <c r="C62" s="2" t="s">
        <v>14</v>
      </c>
      <c r="D62" s="2">
        <f>20*8300</f>
        <v>166000</v>
      </c>
      <c r="E62" s="2" t="s">
        <v>2</v>
      </c>
      <c r="F62" s="2">
        <f>20*2510</f>
        <v>50200</v>
      </c>
      <c r="G62" s="2">
        <f>F62/M62</f>
        <v>55220</v>
      </c>
      <c r="H62" s="2">
        <f>AVERAGE(G62:G64)</f>
        <v>57126.666666666664</v>
      </c>
      <c r="I62" s="2">
        <f>G62/$H$62</f>
        <v>0.96662387676508343</v>
      </c>
      <c r="J62" s="2">
        <f t="shared" si="18"/>
        <v>0.8787489788773486</v>
      </c>
      <c r="K62" s="3">
        <f t="shared" si="19"/>
        <v>188904.91367861885</v>
      </c>
      <c r="M62" s="11">
        <v>0.90909090909090906</v>
      </c>
      <c r="N62" s="2">
        <f t="shared" si="20"/>
        <v>1889049.1367861885</v>
      </c>
    </row>
    <row r="63" spans="1:14" s="2" customFormat="1">
      <c r="A63" s="2" t="s">
        <v>49</v>
      </c>
      <c r="B63" s="12">
        <v>0.90909090909090906</v>
      </c>
      <c r="C63" s="2" t="s">
        <v>14</v>
      </c>
      <c r="D63" s="2">
        <f>20*6160</f>
        <v>123200</v>
      </c>
      <c r="E63" s="2" t="s">
        <v>2</v>
      </c>
      <c r="F63" s="2">
        <f>20*2450</f>
        <v>49000</v>
      </c>
      <c r="G63" s="2">
        <f t="shared" ref="G63:G67" si="30">F63/M63</f>
        <v>53900</v>
      </c>
      <c r="I63" s="2">
        <f t="shared" ref="I63:I64" si="31">G63/$H$62</f>
        <v>0.94351732991014126</v>
      </c>
      <c r="J63" s="2">
        <f t="shared" si="18"/>
        <v>0.85774302719103745</v>
      </c>
      <c r="K63" s="3">
        <f t="shared" si="19"/>
        <v>143632.76190476189</v>
      </c>
      <c r="M63" s="11">
        <v>0.90909090909090906</v>
      </c>
      <c r="N63" s="2">
        <f t="shared" si="20"/>
        <v>1436327.6190476189</v>
      </c>
    </row>
    <row r="64" spans="1:14" s="2" customFormat="1">
      <c r="A64" s="2" t="s">
        <v>50</v>
      </c>
      <c r="B64" s="12">
        <v>0.90909090909090895</v>
      </c>
      <c r="C64" s="2" t="s">
        <v>14</v>
      </c>
      <c r="D64" s="2">
        <f>20*8200</f>
        <v>164000</v>
      </c>
      <c r="E64" s="2" t="s">
        <v>2</v>
      </c>
      <c r="F64" s="2">
        <f>20*2830</f>
        <v>56600</v>
      </c>
      <c r="G64" s="2">
        <f t="shared" si="30"/>
        <v>62260</v>
      </c>
      <c r="I64" s="2">
        <f t="shared" si="31"/>
        <v>1.0898587933247754</v>
      </c>
      <c r="J64" s="2">
        <f t="shared" si="18"/>
        <v>0.99078072120434113</v>
      </c>
      <c r="K64" s="3">
        <f t="shared" si="19"/>
        <v>165526.03062426386</v>
      </c>
      <c r="M64" s="11">
        <v>0.90909090909090906</v>
      </c>
      <c r="N64" s="2">
        <f t="shared" si="20"/>
        <v>1655260.3062426387</v>
      </c>
    </row>
    <row r="65" spans="1:14" s="2" customFormat="1">
      <c r="A65" s="2" t="s">
        <v>51</v>
      </c>
      <c r="B65" s="12">
        <v>0.90909090909090895</v>
      </c>
      <c r="C65" s="2" t="s">
        <v>14</v>
      </c>
      <c r="D65" s="2">
        <f>20*5400</f>
        <v>108000</v>
      </c>
      <c r="E65" s="2" t="s">
        <v>2</v>
      </c>
      <c r="F65" s="2">
        <f>20*2500</f>
        <v>50000</v>
      </c>
      <c r="G65" s="2">
        <f t="shared" si="30"/>
        <v>55000</v>
      </c>
      <c r="H65" s="2">
        <f>AVERAGE(G65:G67)</f>
        <v>55000</v>
      </c>
      <c r="I65" s="2">
        <f>G65/$H$65</f>
        <v>1</v>
      </c>
      <c r="J65" s="2">
        <f t="shared" si="18"/>
        <v>0.90909090909090895</v>
      </c>
      <c r="K65" s="3">
        <f t="shared" si="19"/>
        <v>118800.00000000001</v>
      </c>
      <c r="M65" s="11">
        <v>0.90909090909090906</v>
      </c>
      <c r="N65" s="2">
        <f t="shared" si="20"/>
        <v>1188000.0000000002</v>
      </c>
    </row>
    <row r="66" spans="1:14" s="2" customFormat="1">
      <c r="A66" s="2" t="s">
        <v>52</v>
      </c>
      <c r="B66" s="12">
        <v>0.90909090909090895</v>
      </c>
      <c r="C66" s="2" t="s">
        <v>14</v>
      </c>
      <c r="D66" s="2">
        <f>20*5180</f>
        <v>103600</v>
      </c>
      <c r="E66" s="2" t="s">
        <v>2</v>
      </c>
      <c r="F66" s="2">
        <f>20*2680</f>
        <v>53600</v>
      </c>
      <c r="G66" s="2">
        <f t="shared" si="30"/>
        <v>58960</v>
      </c>
      <c r="I66" s="2">
        <f t="shared" ref="I66:I67" si="32">G66/$H$65</f>
        <v>1.0720000000000001</v>
      </c>
      <c r="J66" s="2">
        <f t="shared" si="18"/>
        <v>0.97454545454545449</v>
      </c>
      <c r="K66" s="3">
        <f t="shared" si="19"/>
        <v>106305.97014925374</v>
      </c>
      <c r="M66" s="11">
        <v>0.90909090909090906</v>
      </c>
      <c r="N66" s="2">
        <f t="shared" si="20"/>
        <v>1063059.7014925375</v>
      </c>
    </row>
    <row r="67" spans="1:14">
      <c r="A67" s="2" t="s">
        <v>53</v>
      </c>
      <c r="B67" s="12">
        <v>0.90909090909090906</v>
      </c>
      <c r="C67" s="2" t="s">
        <v>14</v>
      </c>
      <c r="D67" s="2">
        <f>20*2890</f>
        <v>57800</v>
      </c>
      <c r="E67" s="2" t="s">
        <v>2</v>
      </c>
      <c r="F67" s="2">
        <f>20*2320</f>
        <v>46400</v>
      </c>
      <c r="G67" s="2">
        <f t="shared" si="30"/>
        <v>51040</v>
      </c>
      <c r="H67" s="2"/>
      <c r="I67" s="2">
        <f t="shared" si="32"/>
        <v>0.92800000000000005</v>
      </c>
      <c r="J67" s="2">
        <f t="shared" si="18"/>
        <v>0.84363636363636363</v>
      </c>
      <c r="K67" s="3">
        <f t="shared" si="19"/>
        <v>68512.931034482754</v>
      </c>
      <c r="M67" s="11">
        <v>0.90909090909090906</v>
      </c>
      <c r="N67" s="2">
        <f t="shared" si="20"/>
        <v>685129.31034482759</v>
      </c>
    </row>
    <row r="68" spans="1:14" s="2" customFormat="1">
      <c r="K68" s="3"/>
      <c r="M68" s="11"/>
    </row>
    <row r="69" spans="1:14">
      <c r="A69" s="17" t="s">
        <v>54</v>
      </c>
      <c r="K69" s="3"/>
      <c r="M69" s="11"/>
      <c r="N69" s="2"/>
    </row>
    <row r="70" spans="1:14">
      <c r="A70" s="2" t="s">
        <v>48</v>
      </c>
      <c r="B70" s="1">
        <f t="shared" ref="B70:B75" si="33">(500/22)*4</f>
        <v>90.909090909090907</v>
      </c>
      <c r="C70" s="2" t="s">
        <v>0</v>
      </c>
      <c r="D70" s="2">
        <f>20*73</f>
        <v>1460</v>
      </c>
      <c r="E70" s="2" t="s">
        <v>2</v>
      </c>
      <c r="F70" s="2">
        <f>20*2650</f>
        <v>53000</v>
      </c>
      <c r="G70" s="2">
        <f>F70/M70</f>
        <v>58300</v>
      </c>
      <c r="H70" s="2">
        <f>AVERAGE(G70:G72)</f>
        <v>54486.666666666664</v>
      </c>
      <c r="I70" s="2">
        <f>G70/$H$70</f>
        <v>1.0699865410497982</v>
      </c>
      <c r="J70" s="2">
        <f t="shared" ref="J70:J75" si="34">B70*I70</f>
        <v>97.271503731799825</v>
      </c>
      <c r="K70" s="3">
        <f t="shared" ref="K70:K75" si="35">D70/J70</f>
        <v>15.009534591194969</v>
      </c>
      <c r="M70" s="11">
        <v>0.90909090909090906</v>
      </c>
      <c r="N70" s="2">
        <f t="shared" si="20"/>
        <v>150.09534591194969</v>
      </c>
    </row>
    <row r="71" spans="1:14">
      <c r="A71" s="2" t="s">
        <v>49</v>
      </c>
      <c r="B71" s="1">
        <f t="shared" si="33"/>
        <v>90.909090909090907</v>
      </c>
      <c r="C71" s="2" t="s">
        <v>0</v>
      </c>
      <c r="D71" s="2">
        <f>20*77</f>
        <v>1540</v>
      </c>
      <c r="E71" s="2" t="s">
        <v>2</v>
      </c>
      <c r="F71" s="2">
        <f>20*2250</f>
        <v>45000</v>
      </c>
      <c r="G71" s="2">
        <f t="shared" ref="G71:G75" si="36">F71/M71</f>
        <v>49500</v>
      </c>
      <c r="H71" s="2"/>
      <c r="I71" s="2">
        <f t="shared" ref="I71:I72" si="37">G71/$H$70</f>
        <v>0.9084791386271871</v>
      </c>
      <c r="J71" s="2">
        <f t="shared" si="34"/>
        <v>82.589012602471556</v>
      </c>
      <c r="K71" s="3">
        <f t="shared" si="35"/>
        <v>18.646548148148149</v>
      </c>
      <c r="M71" s="11">
        <v>0.90909090909090906</v>
      </c>
      <c r="N71" s="2">
        <f t="shared" si="20"/>
        <v>186.4654814814815</v>
      </c>
    </row>
    <row r="72" spans="1:14">
      <c r="A72" s="2" t="s">
        <v>50</v>
      </c>
      <c r="B72" s="1">
        <f t="shared" si="33"/>
        <v>90.909090909090907</v>
      </c>
      <c r="C72" s="2" t="s">
        <v>0</v>
      </c>
      <c r="D72" s="2">
        <f>20*80</f>
        <v>1600</v>
      </c>
      <c r="E72" s="2" t="s">
        <v>2</v>
      </c>
      <c r="F72" s="2">
        <f>20*2530</f>
        <v>50600</v>
      </c>
      <c r="G72" s="2">
        <f t="shared" si="36"/>
        <v>55660</v>
      </c>
      <c r="H72" s="2"/>
      <c r="I72" s="2">
        <f t="shared" si="37"/>
        <v>1.0215343203230149</v>
      </c>
      <c r="J72" s="2">
        <f t="shared" si="34"/>
        <v>92.866756393001353</v>
      </c>
      <c r="K72" s="3">
        <f t="shared" si="35"/>
        <v>17.228985507246374</v>
      </c>
      <c r="M72" s="11">
        <v>0.90909090909090906</v>
      </c>
      <c r="N72" s="2">
        <f t="shared" si="20"/>
        <v>172.28985507246375</v>
      </c>
    </row>
    <row r="73" spans="1:14">
      <c r="A73" s="2" t="s">
        <v>51</v>
      </c>
      <c r="B73" s="1">
        <f t="shared" si="33"/>
        <v>90.909090909090907</v>
      </c>
      <c r="C73" s="2" t="s">
        <v>0</v>
      </c>
      <c r="D73" s="2">
        <f>20*50.6</f>
        <v>1012</v>
      </c>
      <c r="E73" s="2" t="s">
        <v>2</v>
      </c>
      <c r="F73" s="2">
        <f>20*2215</f>
        <v>44300</v>
      </c>
      <c r="G73" s="2">
        <f t="shared" si="36"/>
        <v>48730</v>
      </c>
      <c r="H73" s="2">
        <f>AVERAGE(G73:G75)</f>
        <v>45650</v>
      </c>
      <c r="I73" s="2">
        <f>G73/$H$73</f>
        <v>1.0674698795180724</v>
      </c>
      <c r="J73" s="2">
        <f t="shared" si="34"/>
        <v>97.042716319824763</v>
      </c>
      <c r="K73" s="3">
        <f t="shared" si="35"/>
        <v>10.428397291196386</v>
      </c>
      <c r="M73" s="11">
        <v>0.90909090909090906</v>
      </c>
      <c r="N73" s="2">
        <f t="shared" si="20"/>
        <v>104.28397291196387</v>
      </c>
    </row>
    <row r="74" spans="1:14">
      <c r="A74" s="2" t="s">
        <v>52</v>
      </c>
      <c r="B74" s="1">
        <f t="shared" si="33"/>
        <v>90.909090909090907</v>
      </c>
      <c r="C74" s="2" t="s">
        <v>0</v>
      </c>
      <c r="D74" s="2">
        <f>20*53</f>
        <v>1060</v>
      </c>
      <c r="E74" s="2" t="s">
        <v>2</v>
      </c>
      <c r="F74" s="2">
        <f>20*2377</f>
        <v>47540</v>
      </c>
      <c r="G74" s="2">
        <f t="shared" si="36"/>
        <v>52294</v>
      </c>
      <c r="H74" s="2"/>
      <c r="I74" s="2">
        <f t="shared" ref="I74:I75" si="38">G74/$H$73</f>
        <v>1.1455421686746987</v>
      </c>
      <c r="J74" s="2">
        <f t="shared" si="34"/>
        <v>104.14019715224534</v>
      </c>
      <c r="K74" s="3">
        <f t="shared" si="35"/>
        <v>10.178586453512832</v>
      </c>
      <c r="M74" s="11">
        <v>0.90909090909090906</v>
      </c>
      <c r="N74" s="2">
        <f t="shared" si="20"/>
        <v>101.78586453512833</v>
      </c>
    </row>
    <row r="75" spans="1:14">
      <c r="A75" s="2" t="s">
        <v>53</v>
      </c>
      <c r="B75" s="1">
        <f t="shared" si="33"/>
        <v>90.909090909090907</v>
      </c>
      <c r="C75" s="2" t="s">
        <v>0</v>
      </c>
      <c r="D75" s="2">
        <f>20*50.4</f>
        <v>1008</v>
      </c>
      <c r="E75" s="2" t="s">
        <v>2</v>
      </c>
      <c r="F75" s="4">
        <f>20*1633</f>
        <v>32660</v>
      </c>
      <c r="G75" s="2">
        <f t="shared" si="36"/>
        <v>35926</v>
      </c>
      <c r="H75" s="2"/>
      <c r="I75" s="2">
        <f t="shared" si="38"/>
        <v>0.78698795180722891</v>
      </c>
      <c r="J75" s="2">
        <f t="shared" si="34"/>
        <v>71.544359255202622</v>
      </c>
      <c r="K75" s="3">
        <f t="shared" si="35"/>
        <v>14.089161053276181</v>
      </c>
      <c r="M75" s="11">
        <v>0.90909090909090906</v>
      </c>
      <c r="N75" s="2">
        <f t="shared" si="20"/>
        <v>140.8916105327618</v>
      </c>
    </row>
    <row r="76" spans="1:14">
      <c r="B76" s="2"/>
      <c r="C76" s="2"/>
      <c r="D76" s="2"/>
      <c r="E76" s="2"/>
      <c r="F76" s="2"/>
      <c r="I76" s="2"/>
      <c r="K76" s="3"/>
      <c r="M76" s="11"/>
      <c r="N76" s="2"/>
    </row>
    <row r="77" spans="1:14">
      <c r="A77" s="2" t="s">
        <v>48</v>
      </c>
      <c r="B77" s="12">
        <v>0.90909090909090906</v>
      </c>
      <c r="C77" s="2" t="s">
        <v>3</v>
      </c>
      <c r="D77" s="2">
        <f>20*311</f>
        <v>6220</v>
      </c>
      <c r="E77" s="2" t="s">
        <v>2</v>
      </c>
      <c r="F77" s="2">
        <f>20*2650</f>
        <v>53000</v>
      </c>
      <c r="G77" s="2">
        <f>F77/M77</f>
        <v>58300</v>
      </c>
      <c r="H77" s="2">
        <f>AVERAGE(G77:G79)</f>
        <v>54486.666666666664</v>
      </c>
      <c r="I77" s="2">
        <f>G77/$H$77</f>
        <v>1.0699865410497982</v>
      </c>
      <c r="J77" s="2">
        <f t="shared" ref="J77:J82" si="39">B77*I77</f>
        <v>0.97271503731799835</v>
      </c>
      <c r="K77" s="3">
        <f t="shared" ref="K77:K82" si="40">D77/J77</f>
        <v>6394.4729559748421</v>
      </c>
      <c r="M77" s="11">
        <v>0.90909090909090906</v>
      </c>
      <c r="N77" s="2">
        <f t="shared" si="20"/>
        <v>63944.729559748419</v>
      </c>
    </row>
    <row r="78" spans="1:14">
      <c r="A78" s="2" t="s">
        <v>49</v>
      </c>
      <c r="B78" s="12">
        <v>0.90909090909090906</v>
      </c>
      <c r="C78" s="2" t="s">
        <v>3</v>
      </c>
      <c r="D78" s="2">
        <f>20*314</f>
        <v>6280</v>
      </c>
      <c r="E78" s="2" t="s">
        <v>2</v>
      </c>
      <c r="F78" s="2">
        <f>20*2250</f>
        <v>45000</v>
      </c>
      <c r="G78" s="2">
        <f t="shared" ref="G78:G82" si="41">F78/M78</f>
        <v>49500</v>
      </c>
      <c r="H78" s="2"/>
      <c r="I78" s="2">
        <f t="shared" ref="I78:I79" si="42">G78/$H$77</f>
        <v>0.9084791386271871</v>
      </c>
      <c r="J78" s="2">
        <f t="shared" si="39"/>
        <v>0.82589012602471557</v>
      </c>
      <c r="K78" s="3">
        <f t="shared" si="40"/>
        <v>7603.9170370370366</v>
      </c>
      <c r="M78" s="11">
        <v>0.90909090909090906</v>
      </c>
      <c r="N78" s="2">
        <f t="shared" si="20"/>
        <v>76039.170370370368</v>
      </c>
    </row>
    <row r="79" spans="1:14">
      <c r="A79" s="2" t="s">
        <v>50</v>
      </c>
      <c r="B79" s="12">
        <v>0.90909090909090895</v>
      </c>
      <c r="C79" s="2" t="s">
        <v>3</v>
      </c>
      <c r="D79" s="2">
        <f>20*346</f>
        <v>6920</v>
      </c>
      <c r="E79" s="2" t="s">
        <v>2</v>
      </c>
      <c r="F79" s="2">
        <f>20*2530</f>
        <v>50600</v>
      </c>
      <c r="G79" s="2">
        <f t="shared" si="41"/>
        <v>55660</v>
      </c>
      <c r="H79" s="2"/>
      <c r="I79" s="2">
        <f t="shared" si="42"/>
        <v>1.0215343203230149</v>
      </c>
      <c r="J79" s="2">
        <f t="shared" si="39"/>
        <v>0.92866756393001348</v>
      </c>
      <c r="K79" s="3">
        <f t="shared" si="40"/>
        <v>7451.536231884058</v>
      </c>
      <c r="M79" s="11">
        <v>0.90909090909090906</v>
      </c>
      <c r="N79" s="2">
        <f t="shared" si="20"/>
        <v>74515.362318840576</v>
      </c>
    </row>
    <row r="80" spans="1:14">
      <c r="A80" s="2" t="s">
        <v>51</v>
      </c>
      <c r="B80" s="12">
        <v>0.90909090909090895</v>
      </c>
      <c r="C80" s="2" t="s">
        <v>3</v>
      </c>
      <c r="D80" s="2">
        <f>20*135</f>
        <v>2700</v>
      </c>
      <c r="E80" s="2" t="s">
        <v>2</v>
      </c>
      <c r="F80" s="2">
        <f>20*2215</f>
        <v>44300</v>
      </c>
      <c r="G80" s="2">
        <f t="shared" si="41"/>
        <v>48730</v>
      </c>
      <c r="H80" s="2">
        <f>AVERAGE(G80:G82)</f>
        <v>45650</v>
      </c>
      <c r="I80" s="2">
        <f>G80/$H$80</f>
        <v>1.0674698795180724</v>
      </c>
      <c r="J80" s="2">
        <f t="shared" si="39"/>
        <v>0.97042716319824751</v>
      </c>
      <c r="K80" s="3">
        <f t="shared" si="40"/>
        <v>2782.2799097065463</v>
      </c>
      <c r="M80" s="11">
        <v>0.90909090909090906</v>
      </c>
      <c r="N80" s="2">
        <f t="shared" si="20"/>
        <v>27822.799097065465</v>
      </c>
    </row>
    <row r="81" spans="1:14">
      <c r="A81" s="2" t="s">
        <v>52</v>
      </c>
      <c r="B81" s="12">
        <v>0.90909090909090895</v>
      </c>
      <c r="C81" s="2" t="s">
        <v>3</v>
      </c>
      <c r="D81" s="2">
        <f>20*140</f>
        <v>2800</v>
      </c>
      <c r="E81" s="2" t="s">
        <v>2</v>
      </c>
      <c r="F81" s="2">
        <f>20*2377</f>
        <v>47540</v>
      </c>
      <c r="G81" s="2">
        <f t="shared" si="41"/>
        <v>52294</v>
      </c>
      <c r="H81" s="2"/>
      <c r="I81" s="2">
        <f t="shared" ref="I81:I82" si="43">G81/$H$80</f>
        <v>1.1455421686746987</v>
      </c>
      <c r="J81" s="2">
        <f t="shared" si="39"/>
        <v>1.0414019715224532</v>
      </c>
      <c r="K81" s="3">
        <f t="shared" si="40"/>
        <v>2688.6832141354657</v>
      </c>
      <c r="M81" s="11">
        <v>0.90909090909090906</v>
      </c>
      <c r="N81" s="2">
        <f t="shared" si="20"/>
        <v>26886.832141354658</v>
      </c>
    </row>
    <row r="82" spans="1:14">
      <c r="A82" s="2" t="s">
        <v>53</v>
      </c>
      <c r="B82" s="12">
        <v>0.90909090909090906</v>
      </c>
      <c r="C82" s="2" t="s">
        <v>3</v>
      </c>
      <c r="D82" s="4">
        <f>20*163</f>
        <v>3260</v>
      </c>
      <c r="E82" s="2" t="s">
        <v>2</v>
      </c>
      <c r="F82" s="4">
        <f>20*1633</f>
        <v>32660</v>
      </c>
      <c r="G82" s="2">
        <f t="shared" si="41"/>
        <v>35926</v>
      </c>
      <c r="H82" s="2"/>
      <c r="I82" s="2">
        <f t="shared" si="43"/>
        <v>0.78698795180722891</v>
      </c>
      <c r="J82" s="2">
        <f t="shared" si="39"/>
        <v>0.71544359255202628</v>
      </c>
      <c r="K82" s="3">
        <f t="shared" si="40"/>
        <v>4556.6135946111453</v>
      </c>
      <c r="M82" s="11">
        <v>0.90909090909090906</v>
      </c>
      <c r="N82" s="2">
        <f t="shared" si="20"/>
        <v>45566.135946111455</v>
      </c>
    </row>
    <row r="83" spans="1:14">
      <c r="B83" s="2"/>
      <c r="C83" s="2"/>
      <c r="D83" s="2"/>
      <c r="E83" s="2"/>
      <c r="F83" s="2"/>
      <c r="I83" s="2"/>
      <c r="K83" s="3"/>
      <c r="M83" s="11"/>
      <c r="N83" s="2"/>
    </row>
    <row r="84" spans="1:14">
      <c r="A84" s="2" t="s">
        <v>48</v>
      </c>
      <c r="B84" s="12">
        <v>0.90909090909090906</v>
      </c>
      <c r="C84" s="2" t="s">
        <v>4</v>
      </c>
      <c r="D84" s="2">
        <f>20*98</f>
        <v>1960</v>
      </c>
      <c r="E84" s="2" t="s">
        <v>2</v>
      </c>
      <c r="F84" s="2">
        <f>20*2650</f>
        <v>53000</v>
      </c>
      <c r="G84" s="2">
        <f>F84/M84</f>
        <v>58300</v>
      </c>
      <c r="H84" s="2">
        <f>AVERAGE(G84:G86)</f>
        <v>54486.666666666664</v>
      </c>
      <c r="I84" s="2">
        <f>G84/$H$84</f>
        <v>1.0699865410497982</v>
      </c>
      <c r="J84" s="2">
        <f t="shared" ref="J84:J89" si="44">B84*I84</f>
        <v>0.97271503731799835</v>
      </c>
      <c r="K84" s="3">
        <f t="shared" ref="K84:K89" si="45">D84/J84</f>
        <v>2014.978616352201</v>
      </c>
      <c r="M84" s="11">
        <v>0.90909090909090906</v>
      </c>
      <c r="N84" s="2">
        <f t="shared" si="20"/>
        <v>20149.786163522011</v>
      </c>
    </row>
    <row r="85" spans="1:14">
      <c r="A85" s="2" t="s">
        <v>49</v>
      </c>
      <c r="B85" s="12">
        <v>0.90909090909090906</v>
      </c>
      <c r="C85" s="2" t="s">
        <v>4</v>
      </c>
      <c r="D85" s="2">
        <f>20*88</f>
        <v>1760</v>
      </c>
      <c r="E85" s="2" t="s">
        <v>2</v>
      </c>
      <c r="F85" s="2">
        <f>20*2250</f>
        <v>45000</v>
      </c>
      <c r="G85" s="2">
        <f t="shared" ref="G85:G89" si="46">F85/M85</f>
        <v>49500</v>
      </c>
      <c r="H85" s="2"/>
      <c r="I85" s="2">
        <f t="shared" ref="I85:I86" si="47">G85/$H$84</f>
        <v>0.9084791386271871</v>
      </c>
      <c r="J85" s="2">
        <f t="shared" si="44"/>
        <v>0.82589012602471557</v>
      </c>
      <c r="K85" s="3">
        <f t="shared" si="45"/>
        <v>2131.0340740740739</v>
      </c>
      <c r="M85" s="11">
        <v>0.90909090909090906</v>
      </c>
      <c r="N85" s="2">
        <f t="shared" si="20"/>
        <v>21310.340740740739</v>
      </c>
    </row>
    <row r="86" spans="1:14">
      <c r="A86" s="2" t="s">
        <v>50</v>
      </c>
      <c r="B86" s="12">
        <v>0.90909090909090895</v>
      </c>
      <c r="C86" s="2" t="s">
        <v>4</v>
      </c>
      <c r="D86" s="2">
        <f>20*94</f>
        <v>1880</v>
      </c>
      <c r="E86" s="2" t="s">
        <v>2</v>
      </c>
      <c r="F86" s="2">
        <f>20*2530</f>
        <v>50600</v>
      </c>
      <c r="G86" s="2">
        <f t="shared" si="46"/>
        <v>55660</v>
      </c>
      <c r="H86" s="2"/>
      <c r="I86" s="2">
        <f t="shared" si="47"/>
        <v>1.0215343203230149</v>
      </c>
      <c r="J86" s="2">
        <f t="shared" si="44"/>
        <v>0.92866756393001348</v>
      </c>
      <c r="K86" s="3">
        <f t="shared" si="45"/>
        <v>2024.4057971014493</v>
      </c>
      <c r="M86" s="11">
        <v>0.90909090909090906</v>
      </c>
      <c r="N86" s="2">
        <f t="shared" si="20"/>
        <v>20244.057971014492</v>
      </c>
    </row>
    <row r="87" spans="1:14">
      <c r="A87" s="2" t="s">
        <v>51</v>
      </c>
      <c r="B87" s="12">
        <v>0.90909090909090895</v>
      </c>
      <c r="C87" s="2" t="s">
        <v>4</v>
      </c>
      <c r="D87" s="2">
        <f>20*141</f>
        <v>2820</v>
      </c>
      <c r="E87" s="2" t="s">
        <v>2</v>
      </c>
      <c r="F87" s="2">
        <f>20*2215</f>
        <v>44300</v>
      </c>
      <c r="G87" s="2">
        <f t="shared" si="46"/>
        <v>48730</v>
      </c>
      <c r="H87" s="2">
        <f>AVERAGE(G87:G89)</f>
        <v>45650</v>
      </c>
      <c r="I87" s="2">
        <f>G87/$H$87</f>
        <v>1.0674698795180724</v>
      </c>
      <c r="J87" s="2">
        <f t="shared" si="44"/>
        <v>0.97042716319824751</v>
      </c>
      <c r="K87" s="3">
        <f t="shared" si="45"/>
        <v>2905.9367945823928</v>
      </c>
      <c r="M87" s="11">
        <v>0.90909090909090906</v>
      </c>
      <c r="N87" s="2">
        <f t="shared" si="20"/>
        <v>29059.367945823928</v>
      </c>
    </row>
    <row r="88" spans="1:14">
      <c r="A88" s="2" t="s">
        <v>52</v>
      </c>
      <c r="B88" s="12">
        <v>0.90909090909090895</v>
      </c>
      <c r="C88" s="2" t="s">
        <v>4</v>
      </c>
      <c r="D88" s="2">
        <f>20*143</f>
        <v>2860</v>
      </c>
      <c r="E88" s="2" t="s">
        <v>2</v>
      </c>
      <c r="F88" s="2">
        <f>20*2377</f>
        <v>47540</v>
      </c>
      <c r="G88" s="2">
        <f t="shared" si="46"/>
        <v>52294</v>
      </c>
      <c r="H88" s="2"/>
      <c r="I88" s="2">
        <f t="shared" ref="I88:I89" si="48">G88/$H$87</f>
        <v>1.1455421686746987</v>
      </c>
      <c r="J88" s="2">
        <f t="shared" si="44"/>
        <v>1.0414019715224532</v>
      </c>
      <c r="K88" s="3">
        <f t="shared" si="45"/>
        <v>2746.2978544383686</v>
      </c>
      <c r="M88" s="11">
        <v>0.90909090909090906</v>
      </c>
      <c r="N88" s="2">
        <f t="shared" si="20"/>
        <v>27462.978544383688</v>
      </c>
    </row>
    <row r="89" spans="1:14">
      <c r="A89" s="2" t="s">
        <v>53</v>
      </c>
      <c r="B89" s="12">
        <v>0.90909090909090906</v>
      </c>
      <c r="C89" s="2" t="s">
        <v>4</v>
      </c>
      <c r="D89" s="4">
        <f>20*135</f>
        <v>2700</v>
      </c>
      <c r="E89" s="2" t="s">
        <v>2</v>
      </c>
      <c r="F89" s="4">
        <f>20*1633</f>
        <v>32660</v>
      </c>
      <c r="G89" s="2">
        <f t="shared" si="46"/>
        <v>35926</v>
      </c>
      <c r="H89" s="2"/>
      <c r="I89" s="2">
        <f t="shared" si="48"/>
        <v>0.78698795180722891</v>
      </c>
      <c r="J89" s="2">
        <f t="shared" si="44"/>
        <v>0.71544359255202628</v>
      </c>
      <c r="K89" s="3">
        <f t="shared" si="45"/>
        <v>3773.8824249846907</v>
      </c>
      <c r="M89" s="11">
        <v>0.90909090909090906</v>
      </c>
      <c r="N89" s="2">
        <f t="shared" si="20"/>
        <v>37738.824249846904</v>
      </c>
    </row>
    <row r="90" spans="1:14">
      <c r="B90" s="2"/>
      <c r="C90" s="2"/>
      <c r="D90" s="2"/>
      <c r="E90" s="2"/>
      <c r="F90" s="2"/>
      <c r="I90" s="2"/>
      <c r="K90" s="3"/>
      <c r="M90" s="11"/>
      <c r="N90" s="2"/>
    </row>
    <row r="91" spans="1:14">
      <c r="A91" s="2" t="s">
        <v>48</v>
      </c>
      <c r="B91" s="12">
        <v>0.90909090909090906</v>
      </c>
      <c r="C91" s="2" t="s">
        <v>14</v>
      </c>
      <c r="D91" s="2">
        <f>20*9100</f>
        <v>182000</v>
      </c>
      <c r="E91" s="2" t="s">
        <v>2</v>
      </c>
      <c r="F91" s="2">
        <f>20*2650</f>
        <v>53000</v>
      </c>
      <c r="G91" s="2">
        <f>F91/M91</f>
        <v>58300</v>
      </c>
      <c r="H91" s="2">
        <f>AVERAGE(G91:G93)</f>
        <v>54486.666666666664</v>
      </c>
      <c r="I91" s="2">
        <f>G91/$H$91</f>
        <v>1.0699865410497982</v>
      </c>
      <c r="J91" s="2">
        <f t="shared" ref="J91:J96" si="49">B91*I91</f>
        <v>0.97271503731799835</v>
      </c>
      <c r="K91" s="3">
        <f t="shared" ref="K91:K96" si="50">D91/J91</f>
        <v>187105.1572327044</v>
      </c>
      <c r="M91" s="11">
        <v>0.90909090909090906</v>
      </c>
      <c r="N91" s="2">
        <f t="shared" si="20"/>
        <v>1871051.5723270439</v>
      </c>
    </row>
    <row r="92" spans="1:14">
      <c r="A92" s="2" t="s">
        <v>49</v>
      </c>
      <c r="B92" s="12">
        <v>0.90909090909090906</v>
      </c>
      <c r="C92" s="2" t="s">
        <v>14</v>
      </c>
      <c r="D92" s="2">
        <f>20*10400</f>
        <v>208000</v>
      </c>
      <c r="E92" s="2" t="s">
        <v>2</v>
      </c>
      <c r="F92" s="2">
        <f>20*2250</f>
        <v>45000</v>
      </c>
      <c r="G92" s="2">
        <f t="shared" ref="G92:G96" si="51">F92/M92</f>
        <v>49500</v>
      </c>
      <c r="H92" s="2"/>
      <c r="I92" s="2">
        <f t="shared" ref="I92:I93" si="52">G92/$H$91</f>
        <v>0.9084791386271871</v>
      </c>
      <c r="J92" s="2">
        <f t="shared" si="49"/>
        <v>0.82589012602471557</v>
      </c>
      <c r="K92" s="3">
        <f t="shared" si="50"/>
        <v>251849.48148148146</v>
      </c>
      <c r="M92" s="11">
        <v>0.90909090909090906</v>
      </c>
      <c r="N92" s="2">
        <f t="shared" si="20"/>
        <v>2518494.8148148144</v>
      </c>
    </row>
    <row r="93" spans="1:14">
      <c r="A93" s="2" t="s">
        <v>50</v>
      </c>
      <c r="B93" s="12">
        <v>0.90909090909090895</v>
      </c>
      <c r="C93" s="2" t="s">
        <v>14</v>
      </c>
      <c r="D93" s="2">
        <f>20*9400</f>
        <v>188000</v>
      </c>
      <c r="E93" s="2" t="s">
        <v>2</v>
      </c>
      <c r="F93" s="2">
        <f>20*2530</f>
        <v>50600</v>
      </c>
      <c r="G93" s="2">
        <f t="shared" si="51"/>
        <v>55660</v>
      </c>
      <c r="H93" s="2"/>
      <c r="I93" s="2">
        <f t="shared" si="52"/>
        <v>1.0215343203230149</v>
      </c>
      <c r="J93" s="2">
        <f t="shared" si="49"/>
        <v>0.92866756393001348</v>
      </c>
      <c r="K93" s="3">
        <f t="shared" si="50"/>
        <v>202440.57971014493</v>
      </c>
      <c r="M93" s="11">
        <v>0.90909090909090906</v>
      </c>
      <c r="N93" s="2">
        <f t="shared" si="20"/>
        <v>2024405.7971014492</v>
      </c>
    </row>
    <row r="94" spans="1:14">
      <c r="A94" s="2" t="s">
        <v>51</v>
      </c>
      <c r="B94" s="12">
        <v>0.90909090909090895</v>
      </c>
      <c r="C94" s="2" t="s">
        <v>14</v>
      </c>
      <c r="D94" s="2">
        <f>20*5280</f>
        <v>105600</v>
      </c>
      <c r="E94" s="2" t="s">
        <v>2</v>
      </c>
      <c r="F94" s="2">
        <f>20*2215</f>
        <v>44300</v>
      </c>
      <c r="G94" s="2">
        <f t="shared" si="51"/>
        <v>48730</v>
      </c>
      <c r="H94" s="2">
        <f>AVERAGE(G94:G96)</f>
        <v>45650</v>
      </c>
      <c r="I94" s="2">
        <f>G94/$H$94</f>
        <v>1.0674698795180724</v>
      </c>
      <c r="J94" s="2">
        <f t="shared" si="49"/>
        <v>0.97042716319824751</v>
      </c>
      <c r="K94" s="3">
        <f t="shared" si="50"/>
        <v>108818.05869074492</v>
      </c>
      <c r="M94" s="11">
        <v>0.90909090909090906</v>
      </c>
      <c r="N94" s="2">
        <f t="shared" si="20"/>
        <v>1088180.5869074492</v>
      </c>
    </row>
    <row r="95" spans="1:14">
      <c r="A95" s="2" t="s">
        <v>52</v>
      </c>
      <c r="B95" s="12">
        <v>0.90909090909090895</v>
      </c>
      <c r="C95" s="2" t="s">
        <v>14</v>
      </c>
      <c r="D95" s="2">
        <f>20*5470</f>
        <v>109400</v>
      </c>
      <c r="E95" s="2" t="s">
        <v>2</v>
      </c>
      <c r="F95" s="2">
        <f>20*2377</f>
        <v>47540</v>
      </c>
      <c r="G95" s="2">
        <f t="shared" si="51"/>
        <v>52294</v>
      </c>
      <c r="H95" s="2"/>
      <c r="I95" s="2">
        <f t="shared" ref="I95:I96" si="53">G95/$H$94</f>
        <v>1.1455421686746987</v>
      </c>
      <c r="J95" s="2">
        <f t="shared" si="49"/>
        <v>1.0414019715224532</v>
      </c>
      <c r="K95" s="3">
        <f t="shared" si="50"/>
        <v>105050.69415229284</v>
      </c>
      <c r="M95" s="11">
        <v>0.90909090909090906</v>
      </c>
      <c r="N95" s="2">
        <f t="shared" si="20"/>
        <v>1050506.9415229284</v>
      </c>
    </row>
    <row r="96" spans="1:14">
      <c r="A96" s="2" t="s">
        <v>53</v>
      </c>
      <c r="B96" s="12">
        <v>0.90909090909090906</v>
      </c>
      <c r="C96" s="2" t="s">
        <v>14</v>
      </c>
      <c r="D96" s="4">
        <f>20*4990</f>
        <v>99800</v>
      </c>
      <c r="E96" s="2" t="s">
        <v>2</v>
      </c>
      <c r="F96" s="4">
        <f>20*1633</f>
        <v>32660</v>
      </c>
      <c r="G96" s="2">
        <f t="shared" si="51"/>
        <v>35926</v>
      </c>
      <c r="H96" s="2"/>
      <c r="I96" s="2">
        <f t="shared" si="53"/>
        <v>0.78698795180722891</v>
      </c>
      <c r="J96" s="2">
        <f t="shared" si="49"/>
        <v>0.71544359255202628</v>
      </c>
      <c r="K96" s="3">
        <f t="shared" si="50"/>
        <v>139493.87630128599</v>
      </c>
      <c r="M96" s="11">
        <v>0.90909090909090906</v>
      </c>
      <c r="N96" s="2">
        <f t="shared" si="20"/>
        <v>1394938.76301286</v>
      </c>
    </row>
    <row r="97" spans="1:14">
      <c r="K97" s="3"/>
      <c r="M97" s="11"/>
      <c r="N97" s="2"/>
    </row>
    <row r="98" spans="1:14">
      <c r="A98" s="17" t="s">
        <v>56</v>
      </c>
      <c r="K98" s="3"/>
      <c r="M98" s="11"/>
      <c r="N98" s="2"/>
    </row>
    <row r="99" spans="1:14" ht="14.25" customHeight="1">
      <c r="B99" s="19"/>
      <c r="K99" s="3"/>
      <c r="M99" s="11"/>
      <c r="N99" s="2"/>
    </row>
    <row r="100" spans="1:14">
      <c r="A100" s="2" t="s">
        <v>57</v>
      </c>
      <c r="B100" s="12">
        <f>(500/22)*4</f>
        <v>90.909090909090907</v>
      </c>
      <c r="C100" s="2" t="s">
        <v>0</v>
      </c>
      <c r="D100" s="2">
        <f>20*34.5</f>
        <v>690</v>
      </c>
      <c r="E100" s="2" t="s">
        <v>2</v>
      </c>
      <c r="F100" s="2">
        <f>20*1397</f>
        <v>27940</v>
      </c>
      <c r="G100" s="2">
        <f t="shared" ref="G100:G112" si="54">F100/M100</f>
        <v>30734</v>
      </c>
      <c r="H100">
        <f>AVERAGE(G100:G102)</f>
        <v>36461.333333333336</v>
      </c>
      <c r="I100" s="2">
        <f>G100/$H$100</f>
        <v>0.84292035398230081</v>
      </c>
      <c r="J100" s="2">
        <f t="shared" ref="J100:J126" si="55">B100*I100</f>
        <v>76.629123089300066</v>
      </c>
      <c r="K100" s="3">
        <f t="shared" ref="K100:K126" si="56">D100/J100</f>
        <v>9.0044094488188993</v>
      </c>
      <c r="M100" s="11">
        <v>0.90909090909090906</v>
      </c>
      <c r="N100" s="2">
        <f t="shared" ref="N100:N141" si="57">10*K100</f>
        <v>90.044094488188989</v>
      </c>
    </row>
    <row r="101" spans="1:14">
      <c r="A101" s="2" t="s">
        <v>58</v>
      </c>
      <c r="B101" s="12">
        <f t="shared" ref="B101:B105" si="58">(500/22)*4</f>
        <v>90.909090909090907</v>
      </c>
      <c r="C101" s="2" t="s">
        <v>0</v>
      </c>
      <c r="D101" s="2">
        <f>20*36.8</f>
        <v>736</v>
      </c>
      <c r="E101" s="2" t="s">
        <v>2</v>
      </c>
      <c r="F101" s="2">
        <f>20*1669</f>
        <v>33380</v>
      </c>
      <c r="G101" s="2">
        <f t="shared" si="54"/>
        <v>36718</v>
      </c>
      <c r="I101" s="2">
        <f t="shared" ref="I101:I102" si="59">G101/$H$100</f>
        <v>1.0070394207562348</v>
      </c>
      <c r="J101" s="2">
        <f t="shared" si="55"/>
        <v>91.549038250566795</v>
      </c>
      <c r="K101" s="3">
        <f t="shared" si="56"/>
        <v>8.0394072298781722</v>
      </c>
      <c r="M101" s="11">
        <v>0.90909090909090906</v>
      </c>
      <c r="N101" s="2">
        <f t="shared" si="57"/>
        <v>80.394072298781722</v>
      </c>
    </row>
    <row r="102" spans="1:14">
      <c r="A102" s="2" t="s">
        <v>59</v>
      </c>
      <c r="B102" s="12">
        <f t="shared" si="58"/>
        <v>90.909090909090907</v>
      </c>
      <c r="C102" s="2" t="s">
        <v>0</v>
      </c>
      <c r="D102" s="2">
        <f>20*46.6</f>
        <v>932</v>
      </c>
      <c r="E102" s="2" t="s">
        <v>2</v>
      </c>
      <c r="F102" s="2">
        <f>20*1906</f>
        <v>38120</v>
      </c>
      <c r="G102" s="2">
        <f t="shared" si="54"/>
        <v>41932</v>
      </c>
      <c r="I102" s="2">
        <f t="shared" si="59"/>
        <v>1.1500402252614641</v>
      </c>
      <c r="J102" s="2">
        <f t="shared" si="55"/>
        <v>104.54911138740583</v>
      </c>
      <c r="K102" s="3">
        <f t="shared" si="56"/>
        <v>8.9144707939839112</v>
      </c>
      <c r="M102" s="11">
        <v>0.90909090909090906</v>
      </c>
      <c r="N102" s="2">
        <f t="shared" si="57"/>
        <v>89.144707939839108</v>
      </c>
    </row>
    <row r="103" spans="1:14">
      <c r="A103" s="2" t="s">
        <v>60</v>
      </c>
      <c r="B103" s="12">
        <f>(500/22)*4</f>
        <v>90.909090909090907</v>
      </c>
      <c r="C103" s="2" t="s">
        <v>0</v>
      </c>
      <c r="D103" s="2">
        <f>20*52.8</f>
        <v>1056</v>
      </c>
      <c r="E103" s="2" t="s">
        <v>2</v>
      </c>
      <c r="F103" s="2">
        <f>20*1529</f>
        <v>30580</v>
      </c>
      <c r="G103" s="2">
        <f t="shared" si="54"/>
        <v>33638</v>
      </c>
      <c r="H103" s="2">
        <f>AVERAGE(G103:G105)</f>
        <v>30814.666666666668</v>
      </c>
      <c r="I103" s="2">
        <f>G103/$H$103</f>
        <v>1.0916230366492146</v>
      </c>
      <c r="J103" s="2">
        <f t="shared" si="55"/>
        <v>99.238457877201327</v>
      </c>
      <c r="K103" s="3">
        <f t="shared" si="56"/>
        <v>10.641035971223022</v>
      </c>
      <c r="M103" s="11">
        <v>0.90909090909090906</v>
      </c>
      <c r="N103" s="2">
        <f t="shared" si="57"/>
        <v>106.41035971223022</v>
      </c>
    </row>
    <row r="104" spans="1:14">
      <c r="A104" s="2" t="s">
        <v>61</v>
      </c>
      <c r="B104" s="12">
        <f t="shared" si="58"/>
        <v>90.909090909090907</v>
      </c>
      <c r="C104" s="2" t="s">
        <v>0</v>
      </c>
      <c r="D104" s="2">
        <f>20*57.6</f>
        <v>1152</v>
      </c>
      <c r="E104" s="2" t="s">
        <v>2</v>
      </c>
      <c r="F104" s="2">
        <f>20*1441</f>
        <v>28820</v>
      </c>
      <c r="G104" s="2">
        <f t="shared" si="54"/>
        <v>31702</v>
      </c>
      <c r="I104" s="2">
        <f t="shared" ref="I104:I105" si="60">G104/$H$103</f>
        <v>1.0287958115183247</v>
      </c>
      <c r="J104" s="2">
        <f t="shared" si="55"/>
        <v>93.52689195621133</v>
      </c>
      <c r="K104" s="3">
        <f t="shared" si="56"/>
        <v>12.317312977099236</v>
      </c>
      <c r="M104" s="11">
        <v>0.90909090909090906</v>
      </c>
      <c r="N104" s="2">
        <f t="shared" si="57"/>
        <v>123.17312977099236</v>
      </c>
    </row>
    <row r="105" spans="1:14">
      <c r="A105" s="2" t="s">
        <v>62</v>
      </c>
      <c r="B105" s="12">
        <f t="shared" si="58"/>
        <v>90.909090909090907</v>
      </c>
      <c r="C105" s="2" t="s">
        <v>0</v>
      </c>
      <c r="D105" s="2">
        <f>20*47.9</f>
        <v>958</v>
      </c>
      <c r="E105" s="2" t="s">
        <v>2</v>
      </c>
      <c r="F105" s="2">
        <f>20*1232</f>
        <v>24640</v>
      </c>
      <c r="G105" s="2">
        <f t="shared" si="54"/>
        <v>27104</v>
      </c>
      <c r="I105" s="2">
        <f t="shared" si="60"/>
        <v>0.87958115183246066</v>
      </c>
      <c r="J105" s="2">
        <f t="shared" si="55"/>
        <v>79.961922893860063</v>
      </c>
      <c r="K105" s="3">
        <f t="shared" si="56"/>
        <v>11.980702380952382</v>
      </c>
      <c r="M105" s="11">
        <v>0.90909090909090906</v>
      </c>
      <c r="N105" s="2">
        <f t="shared" si="57"/>
        <v>119.80702380952381</v>
      </c>
    </row>
    <row r="106" spans="1:14" s="2" customFormat="1">
      <c r="B106" s="19"/>
      <c r="K106" s="3"/>
      <c r="M106" s="11"/>
    </row>
    <row r="107" spans="1:14">
      <c r="A107" s="2" t="s">
        <v>57</v>
      </c>
      <c r="B107" s="12">
        <v>0.90909090909090906</v>
      </c>
      <c r="C107" s="2" t="s">
        <v>3</v>
      </c>
      <c r="D107" s="2">
        <f>20*82.7</f>
        <v>1654</v>
      </c>
      <c r="E107" s="2" t="s">
        <v>2</v>
      </c>
      <c r="F107" s="2">
        <f>20*1397</f>
        <v>27940</v>
      </c>
      <c r="G107" s="2">
        <f t="shared" si="54"/>
        <v>30734</v>
      </c>
      <c r="H107" s="2">
        <f>AVERAGE(G107:G109)</f>
        <v>36461.333333333336</v>
      </c>
      <c r="I107" s="2">
        <f>G107/$H$107</f>
        <v>0.84292035398230081</v>
      </c>
      <c r="J107" s="2">
        <f t="shared" si="55"/>
        <v>0.76629123089300066</v>
      </c>
      <c r="K107" s="3">
        <f t="shared" si="56"/>
        <v>2158.4482939632549</v>
      </c>
      <c r="M107" s="11">
        <v>0.90909090909090906</v>
      </c>
      <c r="N107" s="2">
        <f t="shared" si="57"/>
        <v>21584.482939632548</v>
      </c>
    </row>
    <row r="108" spans="1:14">
      <c r="A108" s="2" t="s">
        <v>58</v>
      </c>
      <c r="B108" s="12">
        <v>0.90909090909090906</v>
      </c>
      <c r="C108" s="2" t="s">
        <v>3</v>
      </c>
      <c r="D108" s="2">
        <f>20*114.5</f>
        <v>2290</v>
      </c>
      <c r="E108" s="2" t="s">
        <v>2</v>
      </c>
      <c r="F108" s="2">
        <f>20*1669</f>
        <v>33380</v>
      </c>
      <c r="G108" s="2">
        <f t="shared" si="54"/>
        <v>36718</v>
      </c>
      <c r="I108" s="2">
        <f t="shared" ref="I108:I109" si="61">G108/$H$107</f>
        <v>1.0070394207562348</v>
      </c>
      <c r="J108" s="2">
        <f t="shared" si="55"/>
        <v>0.91549038250566794</v>
      </c>
      <c r="K108" s="3">
        <f t="shared" si="56"/>
        <v>2501.3916516876379</v>
      </c>
      <c r="M108" s="11">
        <v>0.90909090909090906</v>
      </c>
      <c r="N108" s="2">
        <f t="shared" si="57"/>
        <v>25013.916516876379</v>
      </c>
    </row>
    <row r="109" spans="1:14">
      <c r="A109" s="2" t="s">
        <v>59</v>
      </c>
      <c r="B109" s="12">
        <v>0.90909090909090906</v>
      </c>
      <c r="C109" s="2" t="s">
        <v>3</v>
      </c>
      <c r="D109" s="2">
        <f>20*129</f>
        <v>2580</v>
      </c>
      <c r="E109" s="2" t="s">
        <v>2</v>
      </c>
      <c r="F109" s="2">
        <f>20*1906</f>
        <v>38120</v>
      </c>
      <c r="G109" s="2">
        <f t="shared" si="54"/>
        <v>41932</v>
      </c>
      <c r="I109" s="2">
        <f t="shared" si="61"/>
        <v>1.1500402252614641</v>
      </c>
      <c r="J109" s="2">
        <f t="shared" si="55"/>
        <v>1.0454911138740581</v>
      </c>
      <c r="K109" s="3">
        <f t="shared" si="56"/>
        <v>2467.7397691500532</v>
      </c>
      <c r="M109" s="11">
        <v>0.90909090909090906</v>
      </c>
      <c r="N109" s="2">
        <f t="shared" si="57"/>
        <v>24677.397691500533</v>
      </c>
    </row>
    <row r="110" spans="1:14">
      <c r="A110" s="2" t="s">
        <v>60</v>
      </c>
      <c r="B110" s="12">
        <v>0.90909090909090906</v>
      </c>
      <c r="C110" s="2" t="s">
        <v>3</v>
      </c>
      <c r="D110" s="2">
        <f>20*209</f>
        <v>4180</v>
      </c>
      <c r="E110" s="2" t="s">
        <v>2</v>
      </c>
      <c r="F110" s="2">
        <f>20*1529</f>
        <v>30580</v>
      </c>
      <c r="G110" s="2">
        <f t="shared" si="54"/>
        <v>33638</v>
      </c>
      <c r="H110" s="2">
        <f>AVERAGE(G110:G112)</f>
        <v>30814.666666666668</v>
      </c>
      <c r="I110" s="2">
        <f>G110/$H$110</f>
        <v>1.0916230366492146</v>
      </c>
      <c r="J110" s="2">
        <f t="shared" si="55"/>
        <v>0.99238457877201325</v>
      </c>
      <c r="K110" s="3">
        <f t="shared" si="56"/>
        <v>4212.0767386091129</v>
      </c>
      <c r="M110" s="11">
        <v>0.90909090909090906</v>
      </c>
      <c r="N110" s="2">
        <f t="shared" si="57"/>
        <v>42120.767386091131</v>
      </c>
    </row>
    <row r="111" spans="1:14">
      <c r="A111" s="2" t="s">
        <v>61</v>
      </c>
      <c r="B111" s="12">
        <v>0.90909090909090906</v>
      </c>
      <c r="C111" s="2" t="s">
        <v>3</v>
      </c>
      <c r="D111" s="2">
        <f>20*218</f>
        <v>4360</v>
      </c>
      <c r="E111" s="2" t="s">
        <v>2</v>
      </c>
      <c r="F111" s="2">
        <f>20*1441</f>
        <v>28820</v>
      </c>
      <c r="G111" s="2">
        <f t="shared" si="54"/>
        <v>31702</v>
      </c>
      <c r="I111" s="2">
        <f t="shared" ref="I111:I112" si="62">G111/$H$110</f>
        <v>1.0287958115183247</v>
      </c>
      <c r="J111" s="2">
        <f t="shared" si="55"/>
        <v>0.93526891956211333</v>
      </c>
      <c r="K111" s="3">
        <f t="shared" si="56"/>
        <v>4661.7608142493636</v>
      </c>
      <c r="M111" s="11">
        <v>0.90909090909090906</v>
      </c>
      <c r="N111" s="2">
        <f t="shared" si="57"/>
        <v>46617.608142493635</v>
      </c>
    </row>
    <row r="112" spans="1:14">
      <c r="A112" s="2" t="s">
        <v>62</v>
      </c>
      <c r="B112" s="12">
        <v>0.90909090909090906</v>
      </c>
      <c r="C112" s="2" t="s">
        <v>3</v>
      </c>
      <c r="D112" s="2">
        <f>20*192</f>
        <v>3840</v>
      </c>
      <c r="E112" s="2" t="s">
        <v>2</v>
      </c>
      <c r="F112" s="2">
        <f>20*1232</f>
        <v>24640</v>
      </c>
      <c r="G112" s="2">
        <f t="shared" si="54"/>
        <v>27104</v>
      </c>
      <c r="I112" s="2">
        <f t="shared" si="62"/>
        <v>0.87958115183246066</v>
      </c>
      <c r="J112" s="2">
        <f t="shared" si="55"/>
        <v>0.7996192289386006</v>
      </c>
      <c r="K112" s="3">
        <f t="shared" si="56"/>
        <v>4802.2857142857147</v>
      </c>
      <c r="M112" s="11">
        <v>0.90909090909090906</v>
      </c>
      <c r="N112" s="2">
        <f t="shared" si="57"/>
        <v>48022.857142857145</v>
      </c>
    </row>
    <row r="113" spans="1:14">
      <c r="K113" s="3"/>
      <c r="M113" s="11"/>
      <c r="N113" s="2"/>
    </row>
    <row r="114" spans="1:14">
      <c r="A114" s="2" t="s">
        <v>63</v>
      </c>
      <c r="B114" s="1">
        <f>(500/22)*4</f>
        <v>90.909090909090907</v>
      </c>
      <c r="C114" s="2" t="s">
        <v>0</v>
      </c>
      <c r="D114" s="2">
        <f>20*1.3</f>
        <v>26</v>
      </c>
      <c r="E114" s="2" t="s">
        <v>2</v>
      </c>
      <c r="F114" s="2">
        <f>20*2180</f>
        <v>43600</v>
      </c>
      <c r="G114" s="2">
        <f t="shared" ref="G114:G119" si="63">F114/M114</f>
        <v>47960</v>
      </c>
      <c r="H114" s="2">
        <f>AVERAGE(G114:G116)</f>
        <v>56760</v>
      </c>
      <c r="I114" s="2">
        <f>G114/$H$114</f>
        <v>0.84496124031007747</v>
      </c>
      <c r="J114" s="2">
        <f t="shared" si="55"/>
        <v>76.814658210007039</v>
      </c>
      <c r="K114" s="3">
        <f t="shared" si="56"/>
        <v>0.33847706422018353</v>
      </c>
      <c r="M114" s="11">
        <v>0.90909090909090906</v>
      </c>
      <c r="N114" s="2">
        <f t="shared" si="57"/>
        <v>3.3847706422018353</v>
      </c>
    </row>
    <row r="115" spans="1:14">
      <c r="A115" s="2" t="s">
        <v>64</v>
      </c>
      <c r="B115" s="1">
        <f t="shared" ref="B115:B119" si="64">(500/22)*4</f>
        <v>90.909090909090907</v>
      </c>
      <c r="C115" s="2" t="s">
        <v>0</v>
      </c>
      <c r="D115" s="2">
        <f>20*0.96</f>
        <v>19.2</v>
      </c>
      <c r="E115" s="2" t="s">
        <v>2</v>
      </c>
      <c r="F115" s="2">
        <f>20*2500</f>
        <v>50000</v>
      </c>
      <c r="G115" s="2">
        <f t="shared" si="63"/>
        <v>55000</v>
      </c>
      <c r="H115" s="2"/>
      <c r="I115" s="2">
        <f t="shared" ref="I115:I116" si="65">G115/$H$114</f>
        <v>0.96899224806201545</v>
      </c>
      <c r="J115" s="2">
        <f t="shared" si="55"/>
        <v>88.090204369274133</v>
      </c>
      <c r="K115" s="3">
        <f t="shared" si="56"/>
        <v>0.2179584</v>
      </c>
      <c r="M115" s="11">
        <v>0.90909090909090906</v>
      </c>
      <c r="N115" s="2">
        <f t="shared" si="57"/>
        <v>2.1795840000000002</v>
      </c>
    </row>
    <row r="116" spans="1:14">
      <c r="A116" s="2" t="s">
        <v>65</v>
      </c>
      <c r="B116" s="1">
        <f t="shared" si="64"/>
        <v>90.909090909090907</v>
      </c>
      <c r="C116" s="2" t="s">
        <v>0</v>
      </c>
      <c r="D116" s="2">
        <f>20*1.7</f>
        <v>34</v>
      </c>
      <c r="E116" s="2" t="s">
        <v>2</v>
      </c>
      <c r="F116" s="2">
        <f>20*3060</f>
        <v>61200</v>
      </c>
      <c r="G116" s="2">
        <f t="shared" si="63"/>
        <v>67320</v>
      </c>
      <c r="H116" s="2"/>
      <c r="I116" s="2">
        <f t="shared" si="65"/>
        <v>1.1860465116279071</v>
      </c>
      <c r="J116" s="2">
        <f t="shared" si="55"/>
        <v>107.82241014799155</v>
      </c>
      <c r="K116" s="3">
        <f t="shared" si="56"/>
        <v>0.3153333333333333</v>
      </c>
      <c r="M116" s="11">
        <v>0.90909090909090906</v>
      </c>
      <c r="N116" s="2">
        <f t="shared" si="57"/>
        <v>3.1533333333333329</v>
      </c>
    </row>
    <row r="117" spans="1:14">
      <c r="A117" s="2" t="s">
        <v>66</v>
      </c>
      <c r="B117" s="1">
        <f>(500/22)*4</f>
        <v>90.909090909090907</v>
      </c>
      <c r="C117" s="2" t="s">
        <v>0</v>
      </c>
      <c r="D117" s="2">
        <f>20*5</f>
        <v>100</v>
      </c>
      <c r="E117" s="2" t="s">
        <v>2</v>
      </c>
      <c r="F117" s="2">
        <f>20*2281</f>
        <v>45620</v>
      </c>
      <c r="G117" s="2">
        <f t="shared" si="63"/>
        <v>50182</v>
      </c>
      <c r="H117" s="2">
        <f>AVERAGE(G117:G119)</f>
        <v>42973.333333333336</v>
      </c>
      <c r="I117" s="2">
        <f>G117/$H$117</f>
        <v>1.1677474402730375</v>
      </c>
      <c r="J117" s="2">
        <f t="shared" si="55"/>
        <v>106.15885820663976</v>
      </c>
      <c r="K117" s="3">
        <f t="shared" si="56"/>
        <v>0.94198450971796011</v>
      </c>
      <c r="M117" s="11">
        <v>0.90909090909090906</v>
      </c>
      <c r="N117" s="2">
        <f t="shared" si="57"/>
        <v>9.4198450971796017</v>
      </c>
    </row>
    <row r="118" spans="1:14">
      <c r="A118" s="2" t="s">
        <v>67</v>
      </c>
      <c r="B118" s="1">
        <f t="shared" si="64"/>
        <v>90.909090909090907</v>
      </c>
      <c r="C118" s="2" t="s">
        <v>0</v>
      </c>
      <c r="D118" s="2">
        <f>20*6</f>
        <v>120</v>
      </c>
      <c r="E118" s="2" t="s">
        <v>2</v>
      </c>
      <c r="F118" s="2">
        <f>20*2028</f>
        <v>40560</v>
      </c>
      <c r="G118" s="2">
        <f t="shared" si="63"/>
        <v>44616</v>
      </c>
      <c r="H118" s="2"/>
      <c r="I118" s="2">
        <f t="shared" ref="I118:I119" si="66">G118/$H$117</f>
        <v>1.0382252559726961</v>
      </c>
      <c r="J118" s="2">
        <f t="shared" si="55"/>
        <v>94.384114179336009</v>
      </c>
      <c r="K118" s="3">
        <f t="shared" si="56"/>
        <v>1.2714003944773178</v>
      </c>
      <c r="M118" s="11">
        <v>0.90909090909090906</v>
      </c>
      <c r="N118" s="2">
        <f t="shared" si="57"/>
        <v>12.714003944773179</v>
      </c>
    </row>
    <row r="119" spans="1:14">
      <c r="A119" s="2" t="s">
        <v>68</v>
      </c>
      <c r="B119" s="1">
        <f t="shared" si="64"/>
        <v>90.909090909090907</v>
      </c>
      <c r="C119" s="2" t="s">
        <v>0</v>
      </c>
      <c r="D119" s="2">
        <f>20*3.7</f>
        <v>74</v>
      </c>
      <c r="E119" s="2" t="s">
        <v>2</v>
      </c>
      <c r="F119" s="2">
        <f>20*1551</f>
        <v>31020</v>
      </c>
      <c r="G119" s="2">
        <f t="shared" si="63"/>
        <v>34122</v>
      </c>
      <c r="H119" s="2"/>
      <c r="I119" s="2">
        <f t="shared" si="66"/>
        <v>0.79402730375426611</v>
      </c>
      <c r="J119" s="2">
        <f t="shared" si="55"/>
        <v>72.184300341296918</v>
      </c>
      <c r="K119" s="3">
        <f t="shared" si="56"/>
        <v>1.0251536643026007</v>
      </c>
      <c r="M119" s="11">
        <v>0.90909090909090906</v>
      </c>
      <c r="N119" s="2">
        <f t="shared" si="57"/>
        <v>10.251536643026007</v>
      </c>
    </row>
    <row r="120" spans="1:14" s="2" customFormat="1">
      <c r="K120" s="3"/>
      <c r="M120" s="11"/>
    </row>
    <row r="121" spans="1:14">
      <c r="A121" s="2" t="s">
        <v>63</v>
      </c>
      <c r="B121" s="1">
        <f>(500/22)*4</f>
        <v>90.909090909090907</v>
      </c>
      <c r="C121" s="2" t="s">
        <v>3</v>
      </c>
      <c r="D121" s="2">
        <f>20*22.2</f>
        <v>444</v>
      </c>
      <c r="E121" s="2" t="s">
        <v>2</v>
      </c>
      <c r="F121" s="2">
        <f>20*2180</f>
        <v>43600</v>
      </c>
      <c r="G121" s="2">
        <f t="shared" ref="G121:G126" si="67">F121/M121</f>
        <v>47960</v>
      </c>
      <c r="H121" s="2">
        <f>AVERAGE(G121:G123)</f>
        <v>56760</v>
      </c>
      <c r="I121" s="2">
        <f>G121/$H$121</f>
        <v>0.84496124031007747</v>
      </c>
      <c r="J121" s="2">
        <f t="shared" si="55"/>
        <v>76.814658210007039</v>
      </c>
      <c r="K121" s="3">
        <f t="shared" si="56"/>
        <v>5.7801467889908267</v>
      </c>
      <c r="M121" s="11">
        <v>0.90909090909090906</v>
      </c>
      <c r="N121" s="2">
        <f t="shared" si="57"/>
        <v>57.801467889908267</v>
      </c>
    </row>
    <row r="122" spans="1:14">
      <c r="A122" s="2" t="s">
        <v>64</v>
      </c>
      <c r="B122" s="1">
        <f t="shared" ref="B122:B126" si="68">(500/22)*4</f>
        <v>90.909090909090907</v>
      </c>
      <c r="C122" s="2" t="s">
        <v>3</v>
      </c>
      <c r="D122" s="2">
        <f>20*20.2</f>
        <v>404</v>
      </c>
      <c r="E122" s="2" t="s">
        <v>2</v>
      </c>
      <c r="F122" s="2">
        <f>20*2500</f>
        <v>50000</v>
      </c>
      <c r="G122" s="2">
        <f t="shared" si="67"/>
        <v>55000</v>
      </c>
      <c r="H122" s="2"/>
      <c r="I122" s="2">
        <f t="shared" ref="I122:I123" si="69">G122/$H$121</f>
        <v>0.96899224806201545</v>
      </c>
      <c r="J122" s="2">
        <f t="shared" si="55"/>
        <v>88.090204369274133</v>
      </c>
      <c r="K122" s="3">
        <f t="shared" si="56"/>
        <v>4.5862080000000001</v>
      </c>
      <c r="M122" s="11">
        <v>0.90909090909090906</v>
      </c>
      <c r="N122" s="2">
        <f t="shared" si="57"/>
        <v>45.862079999999999</v>
      </c>
    </row>
    <row r="123" spans="1:14">
      <c r="A123" s="2" t="s">
        <v>65</v>
      </c>
      <c r="B123" s="1">
        <f t="shared" si="68"/>
        <v>90.909090909090907</v>
      </c>
      <c r="C123" s="2" t="s">
        <v>3</v>
      </c>
      <c r="D123" s="2">
        <f>20*25</f>
        <v>500</v>
      </c>
      <c r="E123" s="2" t="s">
        <v>2</v>
      </c>
      <c r="F123" s="2">
        <f>20*3060</f>
        <v>61200</v>
      </c>
      <c r="G123" s="2">
        <f t="shared" si="67"/>
        <v>67320</v>
      </c>
      <c r="H123" s="2"/>
      <c r="I123" s="2">
        <f t="shared" si="69"/>
        <v>1.1860465116279071</v>
      </c>
      <c r="J123" s="2">
        <f t="shared" si="55"/>
        <v>107.82241014799155</v>
      </c>
      <c r="K123" s="3">
        <f t="shared" si="56"/>
        <v>4.6372549019607838</v>
      </c>
      <c r="M123" s="11">
        <v>0.90909090909090906</v>
      </c>
      <c r="N123" s="2">
        <f t="shared" si="57"/>
        <v>46.372549019607838</v>
      </c>
    </row>
    <row r="124" spans="1:14">
      <c r="A124" s="2" t="s">
        <v>66</v>
      </c>
      <c r="B124" s="1">
        <f>(500/22)*4</f>
        <v>90.909090909090907</v>
      </c>
      <c r="C124" s="2" t="s">
        <v>3</v>
      </c>
      <c r="D124" s="2">
        <f>20*98.6</f>
        <v>1972</v>
      </c>
      <c r="E124" s="2" t="s">
        <v>2</v>
      </c>
      <c r="F124" s="2">
        <f>20*2281</f>
        <v>45620</v>
      </c>
      <c r="G124" s="2">
        <f t="shared" si="67"/>
        <v>50182</v>
      </c>
      <c r="H124" s="2">
        <f>AVERAGE(G124:G126)</f>
        <v>42973.333333333336</v>
      </c>
      <c r="I124" s="2">
        <f>G124/$H$124</f>
        <v>1.1677474402730375</v>
      </c>
      <c r="J124" s="2">
        <f t="shared" si="55"/>
        <v>106.15885820663976</v>
      </c>
      <c r="K124" s="3">
        <f t="shared" si="56"/>
        <v>18.575934531638172</v>
      </c>
      <c r="M124" s="11">
        <v>0.90909090909090906</v>
      </c>
      <c r="N124" s="2">
        <f t="shared" si="57"/>
        <v>185.75934531638171</v>
      </c>
    </row>
    <row r="125" spans="1:14">
      <c r="A125" s="2" t="s">
        <v>67</v>
      </c>
      <c r="B125" s="1">
        <f t="shared" si="68"/>
        <v>90.909090909090907</v>
      </c>
      <c r="C125" s="2" t="s">
        <v>3</v>
      </c>
      <c r="D125" s="2">
        <f>20*108.7</f>
        <v>2174</v>
      </c>
      <c r="E125" s="2" t="s">
        <v>2</v>
      </c>
      <c r="F125" s="2">
        <f>20*2028</f>
        <v>40560</v>
      </c>
      <c r="G125" s="2">
        <f t="shared" si="67"/>
        <v>44616</v>
      </c>
      <c r="H125" s="2"/>
      <c r="I125" s="2">
        <f t="shared" ref="I125:I126" si="70">G125/$H$124</f>
        <v>1.0382252559726961</v>
      </c>
      <c r="J125" s="2">
        <f t="shared" si="55"/>
        <v>94.384114179336009</v>
      </c>
      <c r="K125" s="3">
        <f t="shared" si="56"/>
        <v>23.033537146614073</v>
      </c>
      <c r="M125" s="11">
        <v>0.90909090909090906</v>
      </c>
      <c r="N125" s="2">
        <f t="shared" si="57"/>
        <v>230.33537146614071</v>
      </c>
    </row>
    <row r="126" spans="1:14">
      <c r="A126" s="2" t="s">
        <v>68</v>
      </c>
      <c r="B126" s="1">
        <f t="shared" si="68"/>
        <v>90.909090909090907</v>
      </c>
      <c r="C126" s="2" t="s">
        <v>3</v>
      </c>
      <c r="D126" s="2">
        <f>20*80.3</f>
        <v>1606</v>
      </c>
      <c r="E126" s="2" t="s">
        <v>2</v>
      </c>
      <c r="F126" s="2">
        <f>20*1551</f>
        <v>31020</v>
      </c>
      <c r="G126" s="2">
        <f t="shared" si="67"/>
        <v>34122</v>
      </c>
      <c r="H126" s="2"/>
      <c r="I126" s="2">
        <f t="shared" si="70"/>
        <v>0.79402730375426611</v>
      </c>
      <c r="J126" s="2">
        <f t="shared" si="55"/>
        <v>72.184300341296918</v>
      </c>
      <c r="K126" s="3">
        <f t="shared" si="56"/>
        <v>22.248605200945629</v>
      </c>
      <c r="M126" s="11">
        <v>0.90909090909090906</v>
      </c>
      <c r="N126" s="2">
        <f t="shared" si="57"/>
        <v>222.4860520094563</v>
      </c>
    </row>
    <row r="127" spans="1:14">
      <c r="K127" s="3"/>
      <c r="M127" s="11"/>
      <c r="N127" s="2"/>
    </row>
    <row r="128" spans="1:14">
      <c r="A128" s="3" t="s">
        <v>69</v>
      </c>
      <c r="K128" s="3"/>
      <c r="M128" s="11"/>
      <c r="N128" s="2"/>
    </row>
    <row r="129" spans="1:14">
      <c r="K129" s="3"/>
      <c r="M129" s="11"/>
      <c r="N129" s="2"/>
    </row>
    <row r="130" spans="1:14">
      <c r="A130" s="2" t="s">
        <v>5</v>
      </c>
      <c r="B130" s="1">
        <f>(500/22)*4</f>
        <v>90.909090909090907</v>
      </c>
      <c r="C130" s="2" t="s">
        <v>0</v>
      </c>
      <c r="D130" s="2">
        <f>20*2.3</f>
        <v>46</v>
      </c>
      <c r="E130" s="2" t="s">
        <v>2</v>
      </c>
      <c r="F130" s="2">
        <f>20*5230</f>
        <v>104600</v>
      </c>
      <c r="G130" s="2">
        <f t="shared" ref="G130:G138" si="71">F130/M130</f>
        <v>115060</v>
      </c>
      <c r="H130" s="2">
        <f>AVERAGE(G130:G132)</f>
        <v>109193.33333333333</v>
      </c>
      <c r="I130" s="2">
        <f>G130/$H$130</f>
        <v>1.0537273337810611</v>
      </c>
      <c r="J130" s="2">
        <f t="shared" ref="J130:J148" si="72">B130*I130</f>
        <v>95.793393980096454</v>
      </c>
      <c r="K130" s="3">
        <f t="shared" ref="K130:K148" si="73">D130/J130</f>
        <v>0.48020012746972601</v>
      </c>
      <c r="M130" s="11">
        <v>0.90909090909090906</v>
      </c>
      <c r="N130" s="2">
        <f t="shared" si="57"/>
        <v>4.8020012746972602</v>
      </c>
    </row>
    <row r="131" spans="1:14">
      <c r="A131" s="2" t="s">
        <v>6</v>
      </c>
      <c r="B131" s="1">
        <f t="shared" ref="B131:B132" si="74">(500/22)*4</f>
        <v>90.909090909090907</v>
      </c>
      <c r="C131" s="2" t="s">
        <v>0</v>
      </c>
      <c r="D131" s="2">
        <f>20*1.6</f>
        <v>32</v>
      </c>
      <c r="E131" s="2" t="s">
        <v>2</v>
      </c>
      <c r="F131" s="2">
        <f>20*4970</f>
        <v>99400</v>
      </c>
      <c r="G131" s="2">
        <f t="shared" si="71"/>
        <v>109340</v>
      </c>
      <c r="H131" s="2"/>
      <c r="I131" s="2">
        <f>G131/$H$130</f>
        <v>1.0013431833445265</v>
      </c>
      <c r="J131" s="2">
        <f t="shared" si="72"/>
        <v>91.031198485866042</v>
      </c>
      <c r="K131" s="3">
        <f t="shared" si="73"/>
        <v>0.35152783366867874</v>
      </c>
      <c r="M131" s="11">
        <v>0.90909090909090906</v>
      </c>
      <c r="N131" s="2">
        <f t="shared" si="57"/>
        <v>3.5152783366867872</v>
      </c>
    </row>
    <row r="132" spans="1:14">
      <c r="A132" s="2" t="s">
        <v>7</v>
      </c>
      <c r="B132" s="1">
        <f t="shared" si="74"/>
        <v>90.909090909090907</v>
      </c>
      <c r="C132" s="2" t="s">
        <v>0</v>
      </c>
      <c r="D132" s="2">
        <f>20*1.5</f>
        <v>30</v>
      </c>
      <c r="E132" s="2" t="s">
        <v>2</v>
      </c>
      <c r="F132" s="2">
        <f>20*4690</f>
        <v>93800</v>
      </c>
      <c r="G132" s="2">
        <f t="shared" si="71"/>
        <v>103180</v>
      </c>
      <c r="H132" s="2"/>
      <c r="I132" s="2">
        <f>G132/$H$130</f>
        <v>0.94492948287441236</v>
      </c>
      <c r="J132" s="2">
        <f t="shared" si="72"/>
        <v>85.902680261310209</v>
      </c>
      <c r="K132" s="3">
        <f t="shared" si="73"/>
        <v>0.34923240938166311</v>
      </c>
      <c r="M132" s="11">
        <v>0.90909090909090906</v>
      </c>
      <c r="N132" s="2">
        <f t="shared" si="57"/>
        <v>3.4923240938166309</v>
      </c>
    </row>
    <row r="133" spans="1:14">
      <c r="A133" s="2" t="s">
        <v>8</v>
      </c>
      <c r="B133" s="1">
        <f>(500/22)*4</f>
        <v>90.909090909090907</v>
      </c>
      <c r="C133" s="2" t="s">
        <v>0</v>
      </c>
      <c r="D133" s="2">
        <f>20*7.3</f>
        <v>146</v>
      </c>
      <c r="E133" s="2" t="s">
        <v>2</v>
      </c>
      <c r="F133" s="2">
        <f>20*3810</f>
        <v>76200</v>
      </c>
      <c r="G133" s="2">
        <f t="shared" si="71"/>
        <v>83820</v>
      </c>
      <c r="H133" s="2">
        <f>AVERAGE(G133:G135)</f>
        <v>75166.666666666672</v>
      </c>
      <c r="I133" s="2">
        <f>G133/$H$133</f>
        <v>1.1151219512195121</v>
      </c>
      <c r="J133" s="2">
        <f t="shared" si="72"/>
        <v>101.37472283813746</v>
      </c>
      <c r="K133" s="3">
        <f t="shared" si="73"/>
        <v>1.4402012248468943</v>
      </c>
      <c r="M133" s="11">
        <v>0.90909090909090906</v>
      </c>
      <c r="N133" s="2">
        <f t="shared" si="57"/>
        <v>14.402012248468942</v>
      </c>
    </row>
    <row r="134" spans="1:14">
      <c r="A134" s="2" t="s">
        <v>9</v>
      </c>
      <c r="B134" s="1">
        <f t="shared" ref="B134:B138" si="75">(500/22)*4</f>
        <v>90.909090909090907</v>
      </c>
      <c r="C134" s="2" t="s">
        <v>0</v>
      </c>
      <c r="D134" s="2">
        <f>20*7.6</f>
        <v>152</v>
      </c>
      <c r="E134" s="2" t="s">
        <v>2</v>
      </c>
      <c r="F134" s="2">
        <f>20*2840</f>
        <v>56800</v>
      </c>
      <c r="G134" s="2">
        <f t="shared" si="71"/>
        <v>62480</v>
      </c>
      <c r="H134" s="2"/>
      <c r="I134" s="2">
        <f>G134/$H$133</f>
        <v>0.83121951219512191</v>
      </c>
      <c r="J134" s="2">
        <f t="shared" si="72"/>
        <v>75.565410199556538</v>
      </c>
      <c r="K134" s="3">
        <f t="shared" si="73"/>
        <v>2.0115023474178404</v>
      </c>
      <c r="M134" s="11">
        <v>0.90909090909090906</v>
      </c>
      <c r="N134" s="2">
        <f t="shared" si="57"/>
        <v>20.115023474178404</v>
      </c>
    </row>
    <row r="135" spans="1:14">
      <c r="A135" s="2" t="s">
        <v>10</v>
      </c>
      <c r="B135" s="1">
        <f t="shared" si="75"/>
        <v>90.909090909090907</v>
      </c>
      <c r="C135" s="2" t="s">
        <v>0</v>
      </c>
      <c r="D135" s="2">
        <f>20*6.8</f>
        <v>136</v>
      </c>
      <c r="E135" s="2" t="s">
        <v>2</v>
      </c>
      <c r="F135" s="2">
        <f>20*3600</f>
        <v>72000</v>
      </c>
      <c r="G135" s="2">
        <f t="shared" si="71"/>
        <v>79200</v>
      </c>
      <c r="H135" s="2"/>
      <c r="I135" s="2">
        <f>G135/$H$133</f>
        <v>1.0536585365853657</v>
      </c>
      <c r="J135" s="2">
        <f t="shared" si="72"/>
        <v>95.787139689578694</v>
      </c>
      <c r="K135" s="3">
        <f t="shared" si="73"/>
        <v>1.4198148148148151</v>
      </c>
      <c r="M135" s="11">
        <v>0.90909090909090906</v>
      </c>
      <c r="N135" s="2">
        <f t="shared" si="57"/>
        <v>14.198148148148151</v>
      </c>
    </row>
    <row r="136" spans="1:14">
      <c r="A136" s="2" t="s">
        <v>11</v>
      </c>
      <c r="B136" s="1">
        <f>(500/22)*4</f>
        <v>90.909090909090907</v>
      </c>
      <c r="C136" s="2" t="s">
        <v>0</v>
      </c>
      <c r="D136" s="2">
        <f>20*6.6</f>
        <v>132</v>
      </c>
      <c r="E136" s="2" t="s">
        <v>2</v>
      </c>
      <c r="F136" s="2">
        <f>20*3310</f>
        <v>66200</v>
      </c>
      <c r="G136" s="2">
        <f t="shared" si="71"/>
        <v>72820</v>
      </c>
      <c r="H136" s="2">
        <f>AVERAGE(G136:G138)</f>
        <v>76413.333333333328</v>
      </c>
      <c r="I136" s="2">
        <f>G136/$H$136</f>
        <v>0.95297504798464494</v>
      </c>
      <c r="J136" s="2">
        <f t="shared" si="72"/>
        <v>86.634095271331361</v>
      </c>
      <c r="K136" s="3">
        <f t="shared" si="73"/>
        <v>1.5236495468277944</v>
      </c>
      <c r="M136" s="11">
        <v>0.90909090909090906</v>
      </c>
      <c r="N136" s="2">
        <f t="shared" si="57"/>
        <v>15.236495468277944</v>
      </c>
    </row>
    <row r="137" spans="1:14">
      <c r="A137" s="2" t="s">
        <v>12</v>
      </c>
      <c r="B137" s="1">
        <f t="shared" si="75"/>
        <v>90.909090909090907</v>
      </c>
      <c r="C137" s="2" t="s">
        <v>0</v>
      </c>
      <c r="D137" s="2">
        <f>20*7.1</f>
        <v>142</v>
      </c>
      <c r="E137" s="2" t="s">
        <v>2</v>
      </c>
      <c r="F137" s="2">
        <f>20*3390</f>
        <v>67800</v>
      </c>
      <c r="G137" s="2">
        <f t="shared" si="71"/>
        <v>74580</v>
      </c>
      <c r="H137" s="2"/>
      <c r="I137" s="2">
        <f>G137/$H$136</f>
        <v>0.97600767754318629</v>
      </c>
      <c r="J137" s="2">
        <f t="shared" si="72"/>
        <v>88.727970685744211</v>
      </c>
      <c r="K137" s="3">
        <f t="shared" si="73"/>
        <v>1.6003972468043262</v>
      </c>
      <c r="M137" s="11">
        <v>0.90909090909090906</v>
      </c>
      <c r="N137" s="2">
        <f t="shared" si="57"/>
        <v>16.003972468043262</v>
      </c>
    </row>
    <row r="138" spans="1:14">
      <c r="A138" s="2" t="s">
        <v>13</v>
      </c>
      <c r="B138" s="1">
        <f t="shared" si="75"/>
        <v>90.909090909090907</v>
      </c>
      <c r="C138" s="2" t="s">
        <v>0</v>
      </c>
      <c r="D138" s="2">
        <f>20*7.7</f>
        <v>154</v>
      </c>
      <c r="E138" s="2" t="s">
        <v>2</v>
      </c>
      <c r="F138" s="2">
        <f>20*3720</f>
        <v>74400</v>
      </c>
      <c r="G138" s="2">
        <f t="shared" si="71"/>
        <v>81840</v>
      </c>
      <c r="H138" s="2"/>
      <c r="I138" s="2">
        <f>G138/$H$136</f>
        <v>1.0710172744721689</v>
      </c>
      <c r="J138" s="2">
        <f t="shared" si="72"/>
        <v>97.365206770197162</v>
      </c>
      <c r="K138" s="3">
        <f t="shared" si="73"/>
        <v>1.5816738351254482</v>
      </c>
      <c r="M138" s="11">
        <v>0.90909090909090906</v>
      </c>
      <c r="N138" s="2">
        <f t="shared" si="57"/>
        <v>15.816738351254482</v>
      </c>
    </row>
    <row r="139" spans="1:14">
      <c r="A139" s="2"/>
      <c r="I139" s="2"/>
      <c r="J139" s="2"/>
      <c r="K139" s="3"/>
      <c r="M139" s="11"/>
      <c r="N139" s="2"/>
    </row>
    <row r="140" spans="1:14">
      <c r="A140" s="2" t="s">
        <v>5</v>
      </c>
      <c r="B140" s="1">
        <f>(500/22)*4</f>
        <v>90.909090909090907</v>
      </c>
      <c r="C140" s="2" t="s">
        <v>3</v>
      </c>
      <c r="D140" s="2">
        <f>20*70</f>
        <v>1400</v>
      </c>
      <c r="E140" s="2" t="s">
        <v>2</v>
      </c>
      <c r="F140" s="2">
        <f>20*5230</f>
        <v>104600</v>
      </c>
      <c r="G140" s="2">
        <f t="shared" ref="G140:G145" si="76">F140/M140</f>
        <v>115060</v>
      </c>
      <c r="H140" s="2">
        <f>AVERAGE(G140:G142)</f>
        <v>109193.33333333333</v>
      </c>
      <c r="I140" s="2">
        <f>G140/$H$140</f>
        <v>1.0537273337810611</v>
      </c>
      <c r="J140" s="2">
        <f t="shared" si="72"/>
        <v>95.793393980096454</v>
      </c>
      <c r="K140" s="3">
        <f t="shared" si="73"/>
        <v>14.614786488209052</v>
      </c>
      <c r="M140" s="11">
        <v>0.90909090909090906</v>
      </c>
      <c r="N140" s="2">
        <f t="shared" si="57"/>
        <v>146.14786488209052</v>
      </c>
    </row>
    <row r="141" spans="1:14">
      <c r="A141" s="2" t="s">
        <v>6</v>
      </c>
      <c r="B141" s="1">
        <f t="shared" ref="B141:B142" si="77">(500/22)*4</f>
        <v>90.909090909090907</v>
      </c>
      <c r="C141" s="2" t="s">
        <v>3</v>
      </c>
      <c r="D141" s="2">
        <f>20*68</f>
        <v>1360</v>
      </c>
      <c r="E141" s="2" t="s">
        <v>2</v>
      </c>
      <c r="F141" s="2">
        <f>20*4970</f>
        <v>99400</v>
      </c>
      <c r="G141" s="2">
        <f t="shared" si="76"/>
        <v>109340</v>
      </c>
      <c r="H141" s="2"/>
      <c r="I141" s="2">
        <f>G141/$H$140</f>
        <v>1.0013431833445265</v>
      </c>
      <c r="J141" s="2">
        <f t="shared" si="72"/>
        <v>91.031198485866042</v>
      </c>
      <c r="K141" s="3">
        <f t="shared" si="73"/>
        <v>14.939932930918847</v>
      </c>
      <c r="M141" s="11">
        <v>0.90909090909090906</v>
      </c>
      <c r="N141" s="2">
        <f t="shared" si="57"/>
        <v>149.39932930918846</v>
      </c>
    </row>
    <row r="142" spans="1:14">
      <c r="A142" s="2" t="s">
        <v>7</v>
      </c>
      <c r="B142" s="1">
        <f t="shared" si="77"/>
        <v>90.909090909090907</v>
      </c>
      <c r="C142" s="2" t="s">
        <v>3</v>
      </c>
      <c r="D142" s="2">
        <f>20*71</f>
        <v>1420</v>
      </c>
      <c r="E142" s="2" t="s">
        <v>2</v>
      </c>
      <c r="F142" s="2">
        <f>20*4690</f>
        <v>93800</v>
      </c>
      <c r="G142" s="2">
        <f t="shared" si="76"/>
        <v>103180</v>
      </c>
      <c r="H142" s="2"/>
      <c r="I142" s="2">
        <f>G142/$H$140</f>
        <v>0.94492948287441236</v>
      </c>
      <c r="J142" s="2">
        <f t="shared" si="72"/>
        <v>85.902680261310209</v>
      </c>
      <c r="K142" s="3">
        <f t="shared" si="73"/>
        <v>16.530334044065388</v>
      </c>
      <c r="M142" s="11">
        <v>0.90909090909090906</v>
      </c>
      <c r="N142" s="2">
        <f t="shared" ref="N142:N148" si="78">10*K142</f>
        <v>165.30334044065387</v>
      </c>
    </row>
    <row r="143" spans="1:14">
      <c r="A143" s="2" t="s">
        <v>8</v>
      </c>
      <c r="B143" s="1">
        <f>(500/22)*4</f>
        <v>90.909090909090907</v>
      </c>
      <c r="C143" s="2" t="s">
        <v>3</v>
      </c>
      <c r="D143" s="2">
        <f>20*442</f>
        <v>8840</v>
      </c>
      <c r="E143" s="2" t="s">
        <v>2</v>
      </c>
      <c r="F143" s="2">
        <f>20*3810</f>
        <v>76200</v>
      </c>
      <c r="G143" s="2">
        <f t="shared" si="76"/>
        <v>83820</v>
      </c>
      <c r="H143" s="2">
        <f>AVERAGE(G143:G145)</f>
        <v>75166.666666666672</v>
      </c>
      <c r="I143" s="2">
        <f>G143/$H$143</f>
        <v>1.1151219512195121</v>
      </c>
      <c r="J143" s="2">
        <f t="shared" si="72"/>
        <v>101.37472283813746</v>
      </c>
      <c r="K143" s="3">
        <f t="shared" si="73"/>
        <v>87.201224846894149</v>
      </c>
      <c r="M143" s="11">
        <v>0.90909090909090906</v>
      </c>
      <c r="N143" s="2">
        <f t="shared" si="78"/>
        <v>872.01224846894149</v>
      </c>
    </row>
    <row r="144" spans="1:14">
      <c r="A144" s="2" t="s">
        <v>9</v>
      </c>
      <c r="B144" s="1">
        <f t="shared" ref="B144:B148" si="79">(500/22)*4</f>
        <v>90.909090909090907</v>
      </c>
      <c r="C144" s="2" t="s">
        <v>3</v>
      </c>
      <c r="D144" s="2">
        <f>20*425</f>
        <v>8500</v>
      </c>
      <c r="E144" s="2" t="s">
        <v>2</v>
      </c>
      <c r="F144" s="2">
        <f>20*2840</f>
        <v>56800</v>
      </c>
      <c r="G144" s="2">
        <f t="shared" si="76"/>
        <v>62480</v>
      </c>
      <c r="H144" s="2"/>
      <c r="I144" s="2">
        <f>G144/$H$143</f>
        <v>0.83121951219512191</v>
      </c>
      <c r="J144" s="2">
        <f t="shared" si="72"/>
        <v>75.565410199556538</v>
      </c>
      <c r="K144" s="3">
        <f t="shared" si="73"/>
        <v>112.48532863849766</v>
      </c>
      <c r="M144" s="11">
        <v>0.90909090909090906</v>
      </c>
      <c r="N144" s="2">
        <f t="shared" si="78"/>
        <v>1124.8532863849766</v>
      </c>
    </row>
    <row r="145" spans="1:14">
      <c r="A145" s="2" t="s">
        <v>10</v>
      </c>
      <c r="B145" s="1">
        <f t="shared" si="79"/>
        <v>90.909090909090907</v>
      </c>
      <c r="C145" s="2" t="s">
        <v>3</v>
      </c>
      <c r="D145" s="2">
        <f>20*388</f>
        <v>7760</v>
      </c>
      <c r="E145" s="2" t="s">
        <v>2</v>
      </c>
      <c r="F145" s="2">
        <f>20*3600</f>
        <v>72000</v>
      </c>
      <c r="G145" s="2">
        <f t="shared" si="76"/>
        <v>79200</v>
      </c>
      <c r="H145" s="2"/>
      <c r="I145" s="2">
        <f>G145/$H$143</f>
        <v>1.0536585365853657</v>
      </c>
      <c r="J145" s="2">
        <f t="shared" si="72"/>
        <v>95.787139689578694</v>
      </c>
      <c r="K145" s="3">
        <f t="shared" si="73"/>
        <v>81.012962962962973</v>
      </c>
      <c r="M145" s="11">
        <v>0.90909090909090906</v>
      </c>
      <c r="N145" s="2">
        <f t="shared" si="78"/>
        <v>810.12962962962979</v>
      </c>
    </row>
    <row r="146" spans="1:14">
      <c r="A146" s="2" t="s">
        <v>11</v>
      </c>
      <c r="B146" s="1">
        <f>(500/22)*4</f>
        <v>90.909090909090907</v>
      </c>
      <c r="C146" s="2" t="s">
        <v>3</v>
      </c>
      <c r="D146" s="2">
        <f>20*1900</f>
        <v>38000</v>
      </c>
      <c r="E146" s="2" t="s">
        <v>2</v>
      </c>
      <c r="F146" s="2">
        <f>20*3310</f>
        <v>66200</v>
      </c>
      <c r="G146" s="2">
        <f t="shared" ref="G146:G147" si="80">F146/M146</f>
        <v>72820</v>
      </c>
      <c r="H146" s="2">
        <f>AVERAGE(G146:G148)</f>
        <v>76413.333333333328</v>
      </c>
      <c r="I146" s="2">
        <f>G146/$H$146</f>
        <v>0.95297504798464494</v>
      </c>
      <c r="J146" s="2">
        <f t="shared" si="72"/>
        <v>86.634095271331361</v>
      </c>
      <c r="K146" s="3">
        <f t="shared" si="73"/>
        <v>438.62638469284991</v>
      </c>
      <c r="M146" s="11">
        <v>0.90909090909090906</v>
      </c>
      <c r="N146" s="2">
        <f t="shared" si="78"/>
        <v>4386.2638469284993</v>
      </c>
    </row>
    <row r="147" spans="1:14">
      <c r="A147" s="2" t="s">
        <v>12</v>
      </c>
      <c r="B147" s="1">
        <f t="shared" si="79"/>
        <v>90.909090909090907</v>
      </c>
      <c r="C147" s="2" t="s">
        <v>3</v>
      </c>
      <c r="D147" s="2">
        <f>20*1808</f>
        <v>36160</v>
      </c>
      <c r="E147" s="2" t="s">
        <v>2</v>
      </c>
      <c r="F147" s="2">
        <f>20*3390</f>
        <v>67800</v>
      </c>
      <c r="G147" s="2">
        <f t="shared" si="80"/>
        <v>74580</v>
      </c>
      <c r="H147" s="2"/>
      <c r="I147" s="2">
        <f t="shared" ref="I147:I148" si="81">G147/$H$146</f>
        <v>0.97600767754318629</v>
      </c>
      <c r="J147" s="2">
        <f t="shared" si="72"/>
        <v>88.727970685744211</v>
      </c>
      <c r="K147" s="3">
        <f t="shared" si="73"/>
        <v>407.53777777777771</v>
      </c>
      <c r="M147" s="11">
        <v>0.90909090909090906</v>
      </c>
      <c r="N147" s="2">
        <f t="shared" si="78"/>
        <v>4075.3777777777768</v>
      </c>
    </row>
    <row r="148" spans="1:14">
      <c r="A148" s="2" t="s">
        <v>13</v>
      </c>
      <c r="B148" s="1">
        <f t="shared" si="79"/>
        <v>90.909090909090907</v>
      </c>
      <c r="C148" s="2" t="s">
        <v>3</v>
      </c>
      <c r="D148" s="2">
        <f>20*2071</f>
        <v>41420</v>
      </c>
      <c r="E148" s="2" t="s">
        <v>2</v>
      </c>
      <c r="F148" s="2">
        <f>20*3720</f>
        <v>74400</v>
      </c>
      <c r="G148" s="2">
        <f>F148/M148</f>
        <v>81840</v>
      </c>
      <c r="H148" s="2"/>
      <c r="I148" s="2">
        <f t="shared" si="81"/>
        <v>1.0710172744721689</v>
      </c>
      <c r="J148" s="2">
        <f t="shared" si="72"/>
        <v>97.365206770197162</v>
      </c>
      <c r="K148" s="3">
        <f t="shared" si="73"/>
        <v>425.40863799283159</v>
      </c>
      <c r="M148" s="11">
        <v>0.90909090909090906</v>
      </c>
      <c r="N148" s="2">
        <f t="shared" si="78"/>
        <v>4254.0863799283161</v>
      </c>
    </row>
    <row r="149" spans="1:14">
      <c r="M149" s="11"/>
    </row>
    <row r="150" spans="1:14">
      <c r="A150" s="18" t="s">
        <v>82</v>
      </c>
      <c r="B150" s="1"/>
      <c r="C150" s="2"/>
      <c r="D150" s="2"/>
      <c r="E150" s="2"/>
      <c r="F150" s="2"/>
      <c r="M150" s="11"/>
    </row>
    <row r="151" spans="1:14">
      <c r="M151" s="11"/>
    </row>
    <row r="152" spans="1:14">
      <c r="A152" s="4" t="s">
        <v>83</v>
      </c>
      <c r="B152" s="1">
        <f>(500/22)*4</f>
        <v>90.909090909090907</v>
      </c>
      <c r="C152" s="2" t="s">
        <v>0</v>
      </c>
      <c r="D152" s="2">
        <f>20*30.9</f>
        <v>618</v>
      </c>
      <c r="E152" s="2" t="s">
        <v>2</v>
      </c>
      <c r="F152" s="2">
        <f>20*1922</f>
        <v>38440</v>
      </c>
      <c r="G152" s="2">
        <f>F152/M152</f>
        <v>42284</v>
      </c>
      <c r="H152" s="2">
        <f>AVERAGE(G152:G154)</f>
        <v>48957.333333333336</v>
      </c>
      <c r="I152" s="2">
        <f>G152/$H$152</f>
        <v>0.86369083283403236</v>
      </c>
      <c r="J152" s="2">
        <f>B152*I152</f>
        <v>78.517348439457479</v>
      </c>
      <c r="K152" s="3">
        <f>D152/J152</f>
        <v>7.870872008324663</v>
      </c>
      <c r="L152" s="2"/>
      <c r="M152" s="11">
        <v>0.90909090909090906</v>
      </c>
      <c r="N152" s="2">
        <f>10*K152</f>
        <v>78.708720083246632</v>
      </c>
    </row>
    <row r="153" spans="1:14">
      <c r="A153" s="4" t="s">
        <v>84</v>
      </c>
      <c r="B153" s="1">
        <f t="shared" ref="B153:B154" si="82">(500/22)*4</f>
        <v>90.909090909090907</v>
      </c>
      <c r="C153" s="2" t="s">
        <v>0</v>
      </c>
      <c r="D153" s="2">
        <f>20*25</f>
        <v>500</v>
      </c>
      <c r="E153" s="2" t="s">
        <v>2</v>
      </c>
      <c r="F153" s="2">
        <f>20*2420</f>
        <v>48400</v>
      </c>
      <c r="G153" s="2">
        <f t="shared" ref="G153:G154" si="83">F153/M153</f>
        <v>53240</v>
      </c>
      <c r="H153" s="2"/>
      <c r="I153" s="2">
        <f t="shared" ref="I153:I154" si="84">G153/$H$152</f>
        <v>1.0874775314559617</v>
      </c>
      <c r="J153" s="2">
        <f>B153*I153</f>
        <v>98.861593768723793</v>
      </c>
      <c r="K153" s="3">
        <f>D153/J153</f>
        <v>5.0575757575757576</v>
      </c>
      <c r="L153" s="2"/>
      <c r="M153" s="11">
        <v>0.90909090909090906</v>
      </c>
      <c r="N153" s="2">
        <f t="shared" ref="N153:N154" si="85">10*K153</f>
        <v>50.575757575757578</v>
      </c>
    </row>
    <row r="154" spans="1:14">
      <c r="A154" s="4" t="s">
        <v>85</v>
      </c>
      <c r="B154" s="1">
        <f t="shared" si="82"/>
        <v>90.909090909090907</v>
      </c>
      <c r="C154" s="2" t="s">
        <v>0</v>
      </c>
      <c r="D154" s="2">
        <f>20*34</f>
        <v>680</v>
      </c>
      <c r="E154" s="2" t="s">
        <v>2</v>
      </c>
      <c r="F154" s="2">
        <f>20*2334</f>
        <v>46680</v>
      </c>
      <c r="G154" s="2">
        <f t="shared" si="83"/>
        <v>51348</v>
      </c>
      <c r="H154" s="2"/>
      <c r="I154" s="2">
        <f t="shared" si="84"/>
        <v>1.048831635710006</v>
      </c>
      <c r="J154" s="2">
        <f>B154*I154</f>
        <v>95.348330519091462</v>
      </c>
      <c r="K154" s="3">
        <f>D154/J154</f>
        <v>7.1317452156526704</v>
      </c>
      <c r="L154" s="2"/>
      <c r="M154" s="11">
        <v>0.90909090909090906</v>
      </c>
      <c r="N154" s="2">
        <f t="shared" si="85"/>
        <v>71.317452156526699</v>
      </c>
    </row>
    <row r="155" spans="1:14">
      <c r="M155" s="11"/>
    </row>
    <row r="156" spans="1:14">
      <c r="A156" s="21" t="s">
        <v>79</v>
      </c>
      <c r="B156" s="22"/>
      <c r="C156" s="26"/>
      <c r="D156" s="27"/>
      <c r="E156" s="2"/>
      <c r="F156" s="4"/>
      <c r="M156" s="11"/>
    </row>
    <row r="157" spans="1:14">
      <c r="A157" s="23" t="s">
        <v>73</v>
      </c>
      <c r="B157" s="12">
        <v>0.90909090909090906</v>
      </c>
      <c r="C157" s="28" t="s">
        <v>72</v>
      </c>
      <c r="D157" s="20">
        <v>5240</v>
      </c>
      <c r="E157" s="28" t="s">
        <v>2</v>
      </c>
      <c r="F157" s="20">
        <v>36740</v>
      </c>
      <c r="G157" s="2">
        <f t="shared" ref="G157:G162" si="86">F157/M157</f>
        <v>40414</v>
      </c>
      <c r="H157" s="2">
        <f>AVERAGE(G157:G159)</f>
        <v>44858</v>
      </c>
      <c r="I157" s="2">
        <f>G157/$H$157</f>
        <v>0.90093182932810201</v>
      </c>
      <c r="J157" s="2">
        <f t="shared" ref="J157:J162" si="87">B157*I157</f>
        <v>0.81902893575281999</v>
      </c>
      <c r="K157" s="3">
        <f t="shared" ref="K157:K162" si="88">D157/J157</f>
        <v>6397.820359281437</v>
      </c>
      <c r="M157" s="11">
        <v>0.90909090909090906</v>
      </c>
      <c r="N157" s="2">
        <f t="shared" ref="N157:N162" si="89">10*K157</f>
        <v>63978.203592814374</v>
      </c>
    </row>
    <row r="158" spans="1:14">
      <c r="A158" s="23" t="s">
        <v>74</v>
      </c>
      <c r="B158" s="12">
        <v>0.90909090909090906</v>
      </c>
      <c r="C158" s="28" t="s">
        <v>72</v>
      </c>
      <c r="D158" s="20">
        <v>7580</v>
      </c>
      <c r="E158" s="28" t="s">
        <v>2</v>
      </c>
      <c r="F158" s="20">
        <v>43080</v>
      </c>
      <c r="G158" s="2">
        <f t="shared" si="86"/>
        <v>47388</v>
      </c>
      <c r="I158" s="2">
        <f t="shared" ref="I158:I159" si="90">G158/$H$157</f>
        <v>1.0564001961745955</v>
      </c>
      <c r="J158" s="2">
        <f t="shared" si="87"/>
        <v>0.96036381470417764</v>
      </c>
      <c r="K158" s="3">
        <f t="shared" si="88"/>
        <v>7892.8421541318476</v>
      </c>
      <c r="M158" s="11">
        <v>0.90909090909090906</v>
      </c>
      <c r="N158" s="2">
        <f t="shared" si="89"/>
        <v>78928.421541318472</v>
      </c>
    </row>
    <row r="159" spans="1:14">
      <c r="A159" s="23" t="s">
        <v>75</v>
      </c>
      <c r="B159" s="12">
        <v>0.90909090909090906</v>
      </c>
      <c r="C159" s="28" t="s">
        <v>72</v>
      </c>
      <c r="D159" s="20">
        <v>7600</v>
      </c>
      <c r="E159" s="28" t="s">
        <v>2</v>
      </c>
      <c r="F159" s="20">
        <v>42520</v>
      </c>
      <c r="G159" s="2">
        <f t="shared" si="86"/>
        <v>46772</v>
      </c>
      <c r="I159" s="2">
        <f t="shared" si="90"/>
        <v>1.0426679744973026</v>
      </c>
      <c r="J159" s="2">
        <f t="shared" si="87"/>
        <v>0.94787997681572966</v>
      </c>
      <c r="K159" s="3">
        <f t="shared" si="88"/>
        <v>8017.8927563499528</v>
      </c>
      <c r="M159" s="11">
        <v>0.90909090909090906</v>
      </c>
      <c r="N159" s="2">
        <f t="shared" si="89"/>
        <v>80178.927563499528</v>
      </c>
    </row>
    <row r="160" spans="1:14">
      <c r="A160" s="23" t="s">
        <v>76</v>
      </c>
      <c r="B160" s="12">
        <v>0.90909090909090906</v>
      </c>
      <c r="C160" s="28" t="s">
        <v>72</v>
      </c>
      <c r="D160" s="20">
        <v>7800</v>
      </c>
      <c r="E160" s="28" t="s">
        <v>2</v>
      </c>
      <c r="F160" s="20">
        <v>41320</v>
      </c>
      <c r="G160" s="2">
        <f t="shared" si="86"/>
        <v>45452</v>
      </c>
      <c r="H160" s="2">
        <f>AVERAGE(G160:G162)</f>
        <v>44982.666666666664</v>
      </c>
      <c r="I160" s="2">
        <f>G160/$H$160</f>
        <v>1.0104336485164656</v>
      </c>
      <c r="J160" s="2">
        <f t="shared" si="87"/>
        <v>0.91857604410587779</v>
      </c>
      <c r="K160" s="3">
        <f t="shared" si="88"/>
        <v>8491.4036786060024</v>
      </c>
      <c r="M160" s="11">
        <v>0.90909090909090906</v>
      </c>
      <c r="N160" s="2">
        <f t="shared" si="89"/>
        <v>84914.036786060024</v>
      </c>
    </row>
    <row r="161" spans="1:14">
      <c r="A161" s="23" t="s">
        <v>77</v>
      </c>
      <c r="B161" s="12">
        <v>0.90909090909090906</v>
      </c>
      <c r="C161" s="28" t="s">
        <v>72</v>
      </c>
      <c r="D161" s="20">
        <v>6960</v>
      </c>
      <c r="E161" s="28" t="s">
        <v>2</v>
      </c>
      <c r="F161" s="20">
        <v>42920</v>
      </c>
      <c r="G161" s="2">
        <f t="shared" si="86"/>
        <v>47212</v>
      </c>
      <c r="I161" s="2">
        <f t="shared" ref="I161:I162" si="91">G161/$H$160</f>
        <v>1.0495598304532117</v>
      </c>
      <c r="J161" s="2">
        <f t="shared" si="87"/>
        <v>0.95414530041201062</v>
      </c>
      <c r="K161" s="3">
        <f t="shared" si="88"/>
        <v>7294.4864864864858</v>
      </c>
      <c r="M161" s="11">
        <v>0.90909090909090906</v>
      </c>
      <c r="N161" s="2">
        <f t="shared" si="89"/>
        <v>72944.864864864852</v>
      </c>
    </row>
    <row r="162" spans="1:14">
      <c r="A162" s="23" t="s">
        <v>78</v>
      </c>
      <c r="B162" s="12">
        <v>0.90909090909090906</v>
      </c>
      <c r="C162" s="28" t="s">
        <v>72</v>
      </c>
      <c r="D162" s="20">
        <v>6780</v>
      </c>
      <c r="E162" s="28" t="s">
        <v>2</v>
      </c>
      <c r="F162" s="20">
        <v>38440</v>
      </c>
      <c r="G162" s="2">
        <f t="shared" si="86"/>
        <v>42284</v>
      </c>
      <c r="I162" s="2">
        <f t="shared" si="91"/>
        <v>0.94000652103032289</v>
      </c>
      <c r="J162" s="2">
        <f t="shared" si="87"/>
        <v>0.854551382754839</v>
      </c>
      <c r="K162" s="3">
        <f t="shared" si="88"/>
        <v>7933.9875130072833</v>
      </c>
      <c r="M162" s="11">
        <v>0.90909090909090906</v>
      </c>
      <c r="N162" s="2">
        <f t="shared" si="89"/>
        <v>79339.875130072833</v>
      </c>
    </row>
    <row r="163" spans="1:14">
      <c r="A163" s="24"/>
      <c r="B163" s="25"/>
      <c r="C163" s="20"/>
      <c r="D163" s="20"/>
      <c r="E163" s="2"/>
      <c r="F163" s="4"/>
      <c r="M163" s="11"/>
    </row>
    <row r="164" spans="1:14">
      <c r="A164" s="21" t="s">
        <v>80</v>
      </c>
      <c r="B164" s="33"/>
      <c r="C164" s="33"/>
      <c r="D164" s="33"/>
      <c r="E164" s="33"/>
      <c r="F164" s="33"/>
      <c r="M164" s="11"/>
    </row>
    <row r="165" spans="1:14">
      <c r="A165" s="34" t="s">
        <v>73</v>
      </c>
      <c r="B165" s="12">
        <v>0.90909090909090906</v>
      </c>
      <c r="C165" s="33" t="s">
        <v>81</v>
      </c>
      <c r="D165" s="35">
        <v>782</v>
      </c>
      <c r="E165" s="33" t="s">
        <v>2</v>
      </c>
      <c r="F165" s="35">
        <v>33720</v>
      </c>
      <c r="G165" s="2">
        <f t="shared" ref="G165:G170" si="92">F165/M165</f>
        <v>37092</v>
      </c>
      <c r="H165" s="2">
        <f>AVERAGE(G165:G167)</f>
        <v>32560</v>
      </c>
      <c r="I165" s="2">
        <f>G165/$H$165</f>
        <v>1.1391891891891892</v>
      </c>
      <c r="J165" s="2">
        <f t="shared" ref="J165:J170" si="93">B165*I165</f>
        <v>1.0356265356265355</v>
      </c>
      <c r="K165" s="3">
        <f t="shared" ref="K165:K170" si="94">D165/J165</f>
        <v>755.09845788849361</v>
      </c>
      <c r="M165" s="11">
        <v>0.90909090909090906</v>
      </c>
      <c r="N165" s="2">
        <f t="shared" ref="N165:N170" si="95">10*K165</f>
        <v>7550.9845788849361</v>
      </c>
    </row>
    <row r="166" spans="1:14">
      <c r="A166" s="34" t="s">
        <v>74</v>
      </c>
      <c r="B166" s="12">
        <v>0.90909090909090906</v>
      </c>
      <c r="C166" s="33" t="s">
        <v>81</v>
      </c>
      <c r="D166" s="35">
        <v>722</v>
      </c>
      <c r="E166" s="33" t="s">
        <v>2</v>
      </c>
      <c r="F166" s="35">
        <v>28440</v>
      </c>
      <c r="G166" s="2">
        <f t="shared" si="92"/>
        <v>31284</v>
      </c>
      <c r="H166" s="32"/>
      <c r="I166" s="2">
        <f t="shared" ref="I166:I167" si="96">G166/$H$165</f>
        <v>0.96081081081081077</v>
      </c>
      <c r="J166" s="2">
        <f t="shared" si="93"/>
        <v>0.87346437346437344</v>
      </c>
      <c r="K166" s="3">
        <f t="shared" si="94"/>
        <v>826.59353023909989</v>
      </c>
      <c r="M166" s="11">
        <v>0.90909090909090906</v>
      </c>
      <c r="N166" s="2">
        <f t="shared" si="95"/>
        <v>8265.9353023909989</v>
      </c>
    </row>
    <row r="167" spans="1:14">
      <c r="A167" s="34" t="s">
        <v>75</v>
      </c>
      <c r="B167" s="12">
        <v>0.90909090909090906</v>
      </c>
      <c r="C167" s="33" t="s">
        <v>81</v>
      </c>
      <c r="D167" s="35">
        <v>658</v>
      </c>
      <c r="E167" s="33" t="s">
        <v>2</v>
      </c>
      <c r="F167" s="35">
        <v>26640</v>
      </c>
      <c r="G167" s="2">
        <f t="shared" si="92"/>
        <v>29304</v>
      </c>
      <c r="H167" s="32"/>
      <c r="I167" s="2">
        <f t="shared" si="96"/>
        <v>0.9</v>
      </c>
      <c r="J167" s="2">
        <f t="shared" si="93"/>
        <v>0.81818181818181812</v>
      </c>
      <c r="K167" s="3">
        <f t="shared" si="94"/>
        <v>804.22222222222229</v>
      </c>
      <c r="M167" s="11">
        <v>0.90909090909090906</v>
      </c>
      <c r="N167" s="2">
        <f t="shared" si="95"/>
        <v>8042.2222222222226</v>
      </c>
    </row>
    <row r="168" spans="1:14">
      <c r="A168" s="34" t="s">
        <v>76</v>
      </c>
      <c r="B168" s="12">
        <v>0.90909090909090906</v>
      </c>
      <c r="C168" s="33" t="s">
        <v>81</v>
      </c>
      <c r="D168" s="35">
        <v>748</v>
      </c>
      <c r="E168" s="33" t="s">
        <v>2</v>
      </c>
      <c r="F168" s="35">
        <v>26760</v>
      </c>
      <c r="G168" s="2">
        <f t="shared" si="92"/>
        <v>29436</v>
      </c>
      <c r="H168" s="2">
        <f>AVERAGE(G168:G170)</f>
        <v>28871.333333333332</v>
      </c>
      <c r="I168" s="2">
        <f>G168/$H$168</f>
        <v>1.0195580391160783</v>
      </c>
      <c r="J168" s="2">
        <f t="shared" si="93"/>
        <v>0.9268709446509803</v>
      </c>
      <c r="K168" s="3">
        <f t="shared" si="94"/>
        <v>807.01634280019925</v>
      </c>
      <c r="M168" s="11">
        <v>0.90909090909090906</v>
      </c>
      <c r="N168" s="2">
        <f t="shared" si="95"/>
        <v>8070.1634280019925</v>
      </c>
    </row>
    <row r="169" spans="1:14">
      <c r="A169" s="34" t="s">
        <v>77</v>
      </c>
      <c r="B169" s="12">
        <v>0.90909090909090906</v>
      </c>
      <c r="C169" s="33" t="s">
        <v>81</v>
      </c>
      <c r="D169" s="35">
        <v>796</v>
      </c>
      <c r="E169" s="33" t="s">
        <v>2</v>
      </c>
      <c r="F169" s="35">
        <v>29800</v>
      </c>
      <c r="G169" s="2">
        <f t="shared" si="92"/>
        <v>32780</v>
      </c>
      <c r="H169" s="32"/>
      <c r="I169" s="2">
        <f t="shared" ref="I169:I170" si="97">G169/$H$168</f>
        <v>1.1353822707645416</v>
      </c>
      <c r="J169" s="2">
        <f t="shared" si="93"/>
        <v>1.0321657006950378</v>
      </c>
      <c r="K169" s="3">
        <f t="shared" si="94"/>
        <v>771.1940044742729</v>
      </c>
      <c r="M169" s="11">
        <v>0.90909090909090906</v>
      </c>
      <c r="N169" s="2">
        <f t="shared" si="95"/>
        <v>7711.9400447427288</v>
      </c>
    </row>
    <row r="170" spans="1:14">
      <c r="A170" s="34" t="s">
        <v>78</v>
      </c>
      <c r="B170" s="12">
        <v>0.90909090909090906</v>
      </c>
      <c r="C170" s="33" t="s">
        <v>81</v>
      </c>
      <c r="D170" s="35">
        <v>606</v>
      </c>
      <c r="E170" s="33" t="s">
        <v>2</v>
      </c>
      <c r="F170" s="35">
        <v>22180</v>
      </c>
      <c r="G170" s="2">
        <f t="shared" si="92"/>
        <v>24398</v>
      </c>
      <c r="H170" s="32"/>
      <c r="I170" s="2">
        <f t="shared" si="97"/>
        <v>0.84505969011938031</v>
      </c>
      <c r="J170" s="2">
        <f t="shared" si="93"/>
        <v>0.76823608192670934</v>
      </c>
      <c r="K170" s="3">
        <f t="shared" si="94"/>
        <v>788.8200180342651</v>
      </c>
      <c r="M170" s="11">
        <v>0.90909090909090906</v>
      </c>
      <c r="N170" s="2">
        <f t="shared" si="95"/>
        <v>7888.200180342651</v>
      </c>
    </row>
    <row r="171" spans="1:14">
      <c r="A171" s="30"/>
      <c r="B171" s="31"/>
      <c r="D171" s="29"/>
      <c r="H171" s="32"/>
      <c r="M171" s="11"/>
    </row>
    <row r="172" spans="1:14">
      <c r="M172" s="11"/>
    </row>
    <row r="173" spans="1:14">
      <c r="M173" s="11"/>
    </row>
    <row r="174" spans="1:14">
      <c r="M174" s="11"/>
    </row>
    <row r="175" spans="1:14">
      <c r="M175" s="11"/>
    </row>
    <row r="176" spans="1:14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Calculations ddPCR</vt:lpstr>
    </vt:vector>
  </TitlesOfParts>
  <Company>City of Hope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rsetten</dc:creator>
  <cp:lastModifiedBy>eepps</cp:lastModifiedBy>
  <dcterms:created xsi:type="dcterms:W3CDTF">2020-01-04T23:14:14Z</dcterms:created>
  <dcterms:modified xsi:type="dcterms:W3CDTF">2021-03-12T06:55:50Z</dcterms:modified>
</cp:coreProperties>
</file>