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super/Documents/Cruz-Reyes Lab/ZachG Illumina Spreadsheets/12241799/FINAL REVIEW/Final Fig Update/FINAL FINAL Fig update/"/>
    </mc:Choice>
  </mc:AlternateContent>
  <xr:revisionPtr revIDLastSave="0" documentId="8_{38A0FC15-89DC-9F4B-A54C-BB7C1E1A99BE}" xr6:coauthVersionLast="45" xr6:coauthVersionMax="45" xr10:uidLastSave="{00000000-0000-0000-0000-000000000000}"/>
  <bookViews>
    <workbookView xWindow="0" yWindow="920" windowWidth="28800" windowHeight="15840" tabRatio="500" xr2:uid="{00000000-000D-0000-FFFF-FFFF00000000}"/>
  </bookViews>
  <sheets>
    <sheet name="RPS12, RESC6-IPs upon RNAi" sheetId="1" r:id="rId1"/>
  </sheets>
  <externalReferences>
    <externalReference r:id="rId2"/>
    <externalReference r:id="rId3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5" i="1" l="1"/>
  <c r="Y124" i="1"/>
  <c r="V124" i="1"/>
  <c r="S124" i="1"/>
  <c r="O124" i="1"/>
  <c r="L124" i="1"/>
  <c r="I124" i="1"/>
  <c r="F124" i="1"/>
  <c r="Y123" i="1"/>
  <c r="V123" i="1"/>
  <c r="S123" i="1"/>
  <c r="O123" i="1"/>
  <c r="L123" i="1"/>
  <c r="I123" i="1"/>
  <c r="F123" i="1"/>
  <c r="Y122" i="1"/>
  <c r="V122" i="1"/>
  <c r="S122" i="1"/>
  <c r="O122" i="1"/>
  <c r="L122" i="1"/>
  <c r="I122" i="1"/>
  <c r="F122" i="1"/>
  <c r="Y121" i="1"/>
  <c r="V121" i="1"/>
  <c r="S121" i="1"/>
  <c r="O121" i="1"/>
  <c r="L121" i="1"/>
  <c r="I121" i="1"/>
  <c r="F121" i="1"/>
  <c r="Y120" i="1"/>
  <c r="V120" i="1"/>
  <c r="S120" i="1"/>
  <c r="O120" i="1"/>
  <c r="L120" i="1"/>
  <c r="I120" i="1"/>
  <c r="F120" i="1"/>
  <c r="Y119" i="1"/>
  <c r="V119" i="1"/>
  <c r="S119" i="1"/>
  <c r="O119" i="1"/>
  <c r="L119" i="1"/>
  <c r="I119" i="1"/>
  <c r="F119" i="1"/>
  <c r="Y118" i="1"/>
  <c r="V118" i="1"/>
  <c r="S118" i="1"/>
  <c r="O118" i="1"/>
  <c r="L118" i="1"/>
  <c r="I118" i="1"/>
  <c r="F118" i="1"/>
  <c r="Y117" i="1"/>
  <c r="V117" i="1"/>
  <c r="S117" i="1"/>
  <c r="O117" i="1"/>
  <c r="L117" i="1"/>
  <c r="I117" i="1"/>
  <c r="F117" i="1"/>
  <c r="Y116" i="1"/>
  <c r="V116" i="1"/>
  <c r="S116" i="1"/>
  <c r="O116" i="1"/>
  <c r="L116" i="1"/>
  <c r="I116" i="1"/>
  <c r="F116" i="1"/>
  <c r="Y115" i="1"/>
  <c r="V115" i="1"/>
  <c r="S115" i="1"/>
  <c r="O115" i="1"/>
  <c r="L115" i="1"/>
  <c r="I115" i="1"/>
  <c r="F115" i="1"/>
  <c r="Y114" i="1"/>
  <c r="V114" i="1"/>
  <c r="S114" i="1"/>
  <c r="O114" i="1"/>
  <c r="L114" i="1"/>
  <c r="I114" i="1"/>
  <c r="F114" i="1"/>
  <c r="Y113" i="1"/>
  <c r="V113" i="1"/>
  <c r="S113" i="1"/>
  <c r="O113" i="1"/>
  <c r="L113" i="1"/>
  <c r="I113" i="1"/>
  <c r="F113" i="1"/>
  <c r="Y112" i="1"/>
  <c r="V112" i="1"/>
  <c r="S112" i="1"/>
  <c r="O112" i="1"/>
  <c r="L112" i="1"/>
  <c r="I112" i="1"/>
  <c r="F112" i="1"/>
  <c r="Y111" i="1"/>
  <c r="V111" i="1"/>
  <c r="S111" i="1"/>
  <c r="O111" i="1"/>
  <c r="L111" i="1"/>
  <c r="I111" i="1"/>
  <c r="F111" i="1"/>
  <c r="Y110" i="1"/>
  <c r="V110" i="1"/>
  <c r="S110" i="1"/>
  <c r="O110" i="1"/>
  <c r="L110" i="1"/>
  <c r="I110" i="1"/>
  <c r="F110" i="1"/>
  <c r="C110" i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Y109" i="1"/>
  <c r="V109" i="1"/>
  <c r="S109" i="1"/>
  <c r="O109" i="1"/>
  <c r="L109" i="1"/>
  <c r="I109" i="1"/>
  <c r="F109" i="1"/>
  <c r="AD41" i="1" l="1"/>
  <c r="AC41" i="1"/>
  <c r="AF41" i="1" s="1"/>
  <c r="Z41" i="1"/>
  <c r="Y41" i="1"/>
  <c r="AB41" i="1" s="1"/>
  <c r="AD40" i="1"/>
  <c r="AC40" i="1"/>
  <c r="AF40" i="1" s="1"/>
  <c r="Z40" i="1"/>
  <c r="Y40" i="1"/>
  <c r="AB40" i="1" s="1"/>
  <c r="AD39" i="1"/>
  <c r="AC39" i="1"/>
  <c r="AF39" i="1" s="1"/>
  <c r="Z39" i="1"/>
  <c r="Y39" i="1"/>
  <c r="AB39" i="1" s="1"/>
  <c r="AD36" i="1"/>
  <c r="AC36" i="1"/>
  <c r="AF36" i="1" s="1"/>
  <c r="Z36" i="1"/>
  <c r="Y36" i="1"/>
  <c r="AB36" i="1" s="1"/>
  <c r="AD35" i="1"/>
  <c r="AC35" i="1"/>
  <c r="AF35" i="1" s="1"/>
  <c r="Z35" i="1"/>
  <c r="Y35" i="1"/>
  <c r="AB35" i="1" s="1"/>
  <c r="AD34" i="1"/>
  <c r="AC34" i="1"/>
  <c r="AF34" i="1" s="1"/>
  <c r="Z34" i="1"/>
  <c r="Y34" i="1"/>
  <c r="AB34" i="1" s="1"/>
  <c r="AD31" i="1"/>
  <c r="AC31" i="1"/>
  <c r="AF31" i="1" s="1"/>
  <c r="Z31" i="1"/>
  <c r="Y31" i="1"/>
  <c r="AB31" i="1" s="1"/>
  <c r="AD30" i="1"/>
  <c r="AC30" i="1"/>
  <c r="AF30" i="1" s="1"/>
  <c r="Z30" i="1"/>
  <c r="Y30" i="1"/>
  <c r="AB30" i="1" s="1"/>
  <c r="AD29" i="1"/>
  <c r="AC29" i="1"/>
  <c r="AF29" i="1" s="1"/>
  <c r="Z29" i="1"/>
  <c r="Y29" i="1"/>
  <c r="AB29" i="1" s="1"/>
  <c r="K40" i="1"/>
  <c r="J40" i="1"/>
  <c r="G40" i="1"/>
  <c r="F40" i="1"/>
  <c r="K39" i="1"/>
  <c r="J39" i="1"/>
  <c r="M39" i="1" s="1"/>
  <c r="G39" i="1"/>
  <c r="F39" i="1"/>
  <c r="I39" i="1" s="1"/>
  <c r="K38" i="1"/>
  <c r="J38" i="1"/>
  <c r="G38" i="1"/>
  <c r="F38" i="1"/>
  <c r="K35" i="1"/>
  <c r="J35" i="1"/>
  <c r="M35" i="1" s="1"/>
  <c r="G35" i="1"/>
  <c r="F35" i="1"/>
  <c r="K34" i="1"/>
  <c r="M34" i="1" s="1"/>
  <c r="J34" i="1"/>
  <c r="G34" i="1"/>
  <c r="F34" i="1"/>
  <c r="K33" i="1"/>
  <c r="J33" i="1"/>
  <c r="G33" i="1"/>
  <c r="F33" i="1"/>
  <c r="K30" i="1"/>
  <c r="M30" i="1" s="1"/>
  <c r="J30" i="1"/>
  <c r="G30" i="1"/>
  <c r="F30" i="1"/>
  <c r="K29" i="1"/>
  <c r="J29" i="1"/>
  <c r="G29" i="1"/>
  <c r="F29" i="1"/>
  <c r="K28" i="1"/>
  <c r="J28" i="1"/>
  <c r="G28" i="1"/>
  <c r="F28" i="1"/>
  <c r="I40" i="1" l="1"/>
  <c r="H29" i="1"/>
  <c r="H33" i="1"/>
  <c r="H35" i="1"/>
  <c r="H39" i="1"/>
  <c r="H28" i="1"/>
  <c r="H30" i="1"/>
  <c r="H34" i="1"/>
  <c r="H38" i="1"/>
  <c r="I29" i="1"/>
  <c r="M38" i="1"/>
  <c r="M28" i="1"/>
  <c r="M29" i="1"/>
  <c r="M33" i="1"/>
  <c r="I35" i="1"/>
  <c r="H40" i="1"/>
  <c r="M40" i="1"/>
  <c r="I38" i="1"/>
  <c r="I28" i="1"/>
  <c r="I30" i="1"/>
  <c r="I34" i="1"/>
  <c r="L28" i="1"/>
  <c r="L30" i="1"/>
  <c r="L34" i="1"/>
  <c r="L38" i="1"/>
  <c r="L40" i="1"/>
  <c r="I33" i="1"/>
  <c r="L29" i="1"/>
  <c r="L33" i="1"/>
  <c r="L35" i="1"/>
  <c r="L39" i="1"/>
  <c r="AA29" i="1"/>
  <c r="AE29" i="1"/>
  <c r="AA30" i="1"/>
  <c r="AE30" i="1"/>
  <c r="AA31" i="1"/>
  <c r="AE31" i="1"/>
  <c r="AA34" i="1"/>
  <c r="AE34" i="1"/>
  <c r="AA35" i="1"/>
  <c r="AE35" i="1"/>
  <c r="AA36" i="1"/>
  <c r="AE36" i="1"/>
  <c r="AA39" i="1"/>
  <c r="AE39" i="1"/>
  <c r="AA40" i="1"/>
  <c r="AE40" i="1"/>
  <c r="AA41" i="1"/>
  <c r="AE41" i="1"/>
</calcChain>
</file>

<file path=xl/sharedStrings.xml><?xml version="1.0" encoding="utf-8"?>
<sst xmlns="http://schemas.openxmlformats.org/spreadsheetml/2006/main" count="239" uniqueCount="92">
  <si>
    <t>ES11d</t>
  </si>
  <si>
    <t>A</t>
  </si>
  <si>
    <t>G</t>
  </si>
  <si>
    <t>ES10i</t>
  </si>
  <si>
    <t>ES9i</t>
  </si>
  <si>
    <t>ES8i</t>
  </si>
  <si>
    <t>C</t>
  </si>
  <si>
    <t>ES7d</t>
  </si>
  <si>
    <t>ES6d</t>
  </si>
  <si>
    <t>ES5i</t>
  </si>
  <si>
    <t>ES4i</t>
  </si>
  <si>
    <t>ES3i</t>
  </si>
  <si>
    <t>no of Ts present before that position</t>
  </si>
  <si>
    <t>sequence</t>
  </si>
  <si>
    <t>T-stripped</t>
  </si>
  <si>
    <t>pre-edited</t>
  </si>
  <si>
    <t>edited</t>
  </si>
  <si>
    <t>editing events; del = -; ins = +</t>
  </si>
  <si>
    <t>J07/J16 Ratio</t>
  </si>
  <si>
    <t>FOLD CHANGE</t>
  </si>
  <si>
    <t>J07/J16 SD</t>
  </si>
  <si>
    <t>0 Day TET (J07/J16)</t>
  </si>
  <si>
    <t>3 Day TET (J08/J17)</t>
  </si>
  <si>
    <t>4 Day TET (J09/J18)</t>
  </si>
  <si>
    <t>0 Day TET (J25/J34)</t>
  </si>
  <si>
    <t>3 Day TET (J26/J35)</t>
  </si>
  <si>
    <t>4 Day TET (J27/J36)</t>
  </si>
  <si>
    <t>J08/J17 Ratio</t>
  </si>
  <si>
    <t>J08/J17 SD</t>
  </si>
  <si>
    <t>J09/J18 Ratio</t>
  </si>
  <si>
    <t>J09/J18 SD</t>
  </si>
  <si>
    <t>J25/J34 Ratio</t>
  </si>
  <si>
    <t>J26/J35 Ratio</t>
  </si>
  <si>
    <t>J27/J36 Ratio</t>
  </si>
  <si>
    <t>J25/J34 SD</t>
  </si>
  <si>
    <t>J26/J35 SD</t>
  </si>
  <si>
    <t>J27/J36 SD</t>
  </si>
  <si>
    <t>Notes: See the suplementary table legend for additional details.</t>
  </si>
  <si>
    <t>Total</t>
  </si>
  <si>
    <t>Most common incorrectly edited sequence</t>
  </si>
  <si>
    <t>Site (T-str)</t>
  </si>
  <si>
    <t>Tet</t>
  </si>
  <si>
    <t>COR</t>
  </si>
  <si>
    <t>COR SD</t>
  </si>
  <si>
    <t>INC</t>
  </si>
  <si>
    <t>INC SD</t>
  </si>
  <si>
    <t>Ratio</t>
  </si>
  <si>
    <t>Ratio SD</t>
  </si>
  <si>
    <t>INC T#</t>
  </si>
  <si>
    <t>% of INC</t>
  </si>
  <si>
    <t>SD</t>
  </si>
  <si>
    <t>% of Total</t>
  </si>
  <si>
    <t>nES</t>
  </si>
  <si>
    <t>-</t>
  </si>
  <si>
    <t>Second most common incorrectly edited sequence</t>
  </si>
  <si>
    <t>d3</t>
  </si>
  <si>
    <t>d4</t>
  </si>
  <si>
    <t>% of Incorrect</t>
  </si>
  <si>
    <t>T's</t>
  </si>
  <si>
    <t>R1</t>
  </si>
  <si>
    <t>R2</t>
  </si>
  <si>
    <t>AVERAGE</t>
  </si>
  <si>
    <t>Total INC</t>
  </si>
  <si>
    <t>Total INC SD</t>
  </si>
  <si>
    <t>d0</t>
  </si>
  <si>
    <r>
      <t>% of T</t>
    </r>
    <r>
      <rPr>
        <b/>
        <sz val="12"/>
        <color theme="1"/>
        <rFont val="Calibri (Body)"/>
      </rPr>
      <t>otal</t>
    </r>
  </si>
  <si>
    <t>T-str</t>
  </si>
  <si>
    <t>% Total INC</t>
  </si>
  <si>
    <t>Most common incorrectly edited sequence +2U</t>
  </si>
  <si>
    <t>Second most common incorrectly edited sequence +1U</t>
  </si>
  <si>
    <t>Most common incorrectly edited sequence +2</t>
  </si>
  <si>
    <t>%</t>
  </si>
  <si>
    <t>% Total 2T</t>
  </si>
  <si>
    <t>% Total 1T</t>
  </si>
  <si>
    <r>
      <t xml:space="preserve">TABULATED: position T-str 142. Percentage of </t>
    </r>
    <r>
      <rPr>
        <sz val="12"/>
        <color theme="1"/>
        <rFont val="Calibri (Body)"/>
      </rPr>
      <t>1T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</si>
  <si>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TABULATED: position T-str 142. Total INC &amp; </t>
    </r>
    <r>
      <rPr>
        <sz val="12"/>
        <color theme="1"/>
        <rFont val="Calibri (Body)"/>
      </rPr>
      <t xml:space="preserve">2T </t>
    </r>
  </si>
  <si>
    <t>% Total T=2</t>
  </si>
  <si>
    <t>% Total T=1</t>
  </si>
  <si>
    <r>
      <t xml:space="preserve">TABULATED: position T-str 142. Total INC &amp; </t>
    </r>
    <r>
      <rPr>
        <b/>
        <sz val="13"/>
        <color theme="1"/>
        <rFont val="Calibri (Body)"/>
      </rPr>
      <t xml:space="preserve">T=2 </t>
    </r>
  </si>
  <si>
    <r>
      <t xml:space="preserve">TABULATED: position T-str 142. Percentage of </t>
    </r>
    <r>
      <rPr>
        <b/>
        <sz val="13"/>
        <color theme="1"/>
        <rFont val="Calibri (Body)"/>
      </rPr>
      <t>T=1</t>
    </r>
    <r>
      <rPr>
        <b/>
        <sz val="13"/>
        <color theme="1"/>
        <rFont val="Calibri"/>
        <family val="2"/>
        <scheme val="minor"/>
      </rPr>
      <t xml:space="preserve"> </t>
    </r>
  </si>
  <si>
    <t>SUMMARY: INC at T-str 142. TOTAL, +2U, +1U</t>
  </si>
  <si>
    <t>Notes:  Most common (+2U) and second most common (+1U) incorrectly edited sequences at T-str 142. Effects of REH2C loss-of-function at position T-str 142.</t>
  </si>
  <si>
    <r>
      <rPr>
        <b/>
        <sz val="16"/>
        <color theme="1"/>
        <rFont val="Calibri"/>
        <family val="2"/>
        <scheme val="minor"/>
      </rPr>
      <t>Supplementary Fig. S5B</t>
    </r>
    <r>
      <rPr>
        <sz val="16"/>
        <color theme="1"/>
        <rFont val="Calibri"/>
        <family val="2"/>
        <scheme val="minor"/>
      </rPr>
      <t>. Fold change values upon REH2C loss-of-function (positions covered by gRNA-1 and gRNA-2).</t>
    </r>
  </si>
  <si>
    <r>
      <rPr>
        <b/>
        <sz val="16"/>
        <color theme="1"/>
        <rFont val="Calibri"/>
        <family val="2"/>
        <scheme val="minor"/>
      </rPr>
      <t>Supplementary Fig. S5A</t>
    </r>
    <r>
      <rPr>
        <sz val="16"/>
        <color theme="1"/>
        <rFont val="Calibri"/>
        <family val="2"/>
        <scheme val="minor"/>
      </rPr>
      <t>. COR and INC values at RPS12 positions T-str 136, 142, 146.</t>
    </r>
  </si>
  <si>
    <t>KH2F1-RNAi</t>
  </si>
  <si>
    <t>KREH2-RNAi</t>
  </si>
  <si>
    <t>KH2F1-RNAi in RESC6-IPs. Mean +/- SD</t>
  </si>
  <si>
    <t>KREH2-RNAi in RESC6-IPs. Mean +/- SD</t>
  </si>
  <si>
    <t>H2F1-RNAi in RESC6-IPs</t>
  </si>
  <si>
    <t>REH2-RNAi in RESC6-IPs</t>
  </si>
  <si>
    <t>KH2F1-RNAi - 0-4 Day - RESC6-IP</t>
  </si>
  <si>
    <t>KREH2-RNAi - 0-4 Day - RESC6-IP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</si>
</sst>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 (Body)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 (Body)"/>
    </font>
    <font>
      <b/>
      <sz val="12"/>
      <color rgb="FFFF0000"/>
      <name val="Calibri"/>
      <family val="2"/>
      <scheme val="minor"/>
    </font>
    <font>
      <sz val="12"/>
      <color theme="1"/>
      <name val="Calibri (Body)"/>
    </font>
    <font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 (Body)"/>
    </font>
    <font>
      <b/>
      <sz val="16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0B1"/>
        <bgColor indexed="64"/>
      </patternFill>
    </fill>
    <fill>
      <patternFill patternType="solid">
        <fgColor rgb="FFFFCCF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Fill="1" applyBorder="1"/>
    <xf numFmtId="0" fontId="0" fillId="4" borderId="8" xfId="0" applyFill="1" applyBorder="1"/>
    <xf numFmtId="0" fontId="0" fillId="0" borderId="8" xfId="0" applyFill="1" applyBorder="1"/>
    <xf numFmtId="0" fontId="0" fillId="5" borderId="8" xfId="0" applyFill="1" applyBorder="1"/>
    <xf numFmtId="0" fontId="0" fillId="0" borderId="9" xfId="0" applyBorder="1"/>
    <xf numFmtId="49" fontId="0" fillId="0" borderId="11" xfId="0" applyNumberFormat="1" applyBorder="1" applyAlignment="1">
      <alignment horizontal="center" vertical="center" textRotation="90" wrapText="1"/>
    </xf>
    <xf numFmtId="0" fontId="2" fillId="3" borderId="6" xfId="0" applyFont="1" applyFill="1" applyBorder="1"/>
    <xf numFmtId="49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6" borderId="6" xfId="0" applyFill="1" applyBorder="1"/>
    <xf numFmtId="0" fontId="0" fillId="3" borderId="6" xfId="0" applyFill="1" applyBorder="1"/>
    <xf numFmtId="0" fontId="0" fillId="5" borderId="10" xfId="0" applyFill="1" applyBorder="1"/>
    <xf numFmtId="0" fontId="1" fillId="0" borderId="1" xfId="0" applyFont="1" applyBorder="1" applyAlignment="1">
      <alignment horizontal="center" vertical="center"/>
    </xf>
    <xf numFmtId="0" fontId="0" fillId="0" borderId="22" xfId="0" applyBorder="1"/>
    <xf numFmtId="0" fontId="1" fillId="9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0" borderId="23" xfId="0" applyBorder="1"/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/>
    <xf numFmtId="11" fontId="0" fillId="0" borderId="0" xfId="0" applyNumberFormat="1" applyBorder="1"/>
    <xf numFmtId="11" fontId="0" fillId="0" borderId="6" xfId="0" applyNumberFormat="1" applyBorder="1"/>
    <xf numFmtId="49" fontId="0" fillId="0" borderId="17" xfId="0" applyNumberFormat="1" applyBorder="1" applyAlignment="1">
      <alignment horizontal="center" vertical="top"/>
    </xf>
    <xf numFmtId="0" fontId="0" fillId="2" borderId="9" xfId="0" applyFill="1" applyBorder="1"/>
    <xf numFmtId="0" fontId="0" fillId="5" borderId="9" xfId="0" applyFill="1" applyBorder="1"/>
    <xf numFmtId="0" fontId="0" fillId="5" borderId="17" xfId="0" applyFill="1" applyBorder="1"/>
    <xf numFmtId="164" fontId="0" fillId="0" borderId="0" xfId="0" applyNumberFormat="1" applyBorder="1"/>
    <xf numFmtId="164" fontId="0" fillId="11" borderId="0" xfId="0" applyNumberFormat="1" applyFont="1" applyFill="1" applyBorder="1"/>
    <xf numFmtId="164" fontId="0" fillId="0" borderId="0" xfId="0" applyNumberFormat="1" applyFont="1" applyBorder="1"/>
    <xf numFmtId="164" fontId="0" fillId="8" borderId="0" xfId="0" applyNumberFormat="1" applyFont="1" applyFill="1" applyBorder="1"/>
    <xf numFmtId="164" fontId="0" fillId="12" borderId="0" xfId="0" applyNumberFormat="1" applyFont="1" applyFill="1" applyBorder="1"/>
    <xf numFmtId="164" fontId="0" fillId="12" borderId="17" xfId="0" applyNumberFormat="1" applyFont="1" applyFill="1" applyBorder="1"/>
    <xf numFmtId="164" fontId="0" fillId="12" borderId="6" xfId="0" applyNumberFormat="1" applyFont="1" applyFill="1" applyBorder="1"/>
    <xf numFmtId="164" fontId="0" fillId="0" borderId="21" xfId="0" applyNumberFormat="1" applyBorder="1"/>
    <xf numFmtId="164" fontId="0" fillId="13" borderId="21" xfId="0" applyNumberFormat="1" applyFill="1" applyBorder="1"/>
    <xf numFmtId="0" fontId="0" fillId="3" borderId="0" xfId="0" applyFont="1" applyFill="1"/>
    <xf numFmtId="0" fontId="0" fillId="3" borderId="6" xfId="0" applyFont="1" applyFill="1" applyBorder="1"/>
    <xf numFmtId="0" fontId="5" fillId="14" borderId="0" xfId="0" applyFont="1" applyFill="1"/>
    <xf numFmtId="0" fontId="0" fillId="14" borderId="0" xfId="0" applyFill="1"/>
    <xf numFmtId="0" fontId="5" fillId="0" borderId="0" xfId="0" applyFont="1" applyFill="1"/>
    <xf numFmtId="0" fontId="0" fillId="0" borderId="3" xfId="0" applyBorder="1"/>
    <xf numFmtId="0" fontId="0" fillId="0" borderId="24" xfId="0" applyBorder="1"/>
    <xf numFmtId="0" fontId="0" fillId="0" borderId="0" xfId="0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31" xfId="0" applyBorder="1" applyAlignment="1">
      <alignment horizontal="center" vertical="center"/>
    </xf>
    <xf numFmtId="2" fontId="0" fillId="0" borderId="0" xfId="0" applyNumberFormat="1"/>
    <xf numFmtId="0" fontId="0" fillId="0" borderId="32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0" fillId="0" borderId="4" xfId="0" applyBorder="1"/>
    <xf numFmtId="0" fontId="0" fillId="0" borderId="21" xfId="0" applyBorder="1"/>
    <xf numFmtId="0" fontId="0" fillId="14" borderId="32" xfId="0" applyFill="1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0" fillId="14" borderId="27" xfId="0" applyFill="1" applyBorder="1" applyAlignment="1">
      <alignment horizontal="center" vertical="center"/>
    </xf>
    <xf numFmtId="2" fontId="0" fillId="15" borderId="0" xfId="0" applyNumberFormat="1" applyFill="1" applyAlignment="1">
      <alignment horizontal="center" vertical="center"/>
    </xf>
    <xf numFmtId="2" fontId="0" fillId="0" borderId="21" xfId="0" applyNumberFormat="1" applyBorder="1"/>
    <xf numFmtId="0" fontId="1" fillId="9" borderId="0" xfId="0" applyFont="1" applyFill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15" borderId="31" xfId="0" applyNumberFormat="1" applyFill="1" applyBorder="1" applyAlignment="1">
      <alignment horizontal="center" vertical="center"/>
    </xf>
    <xf numFmtId="2" fontId="0" fillId="16" borderId="31" xfId="0" applyNumberFormat="1" applyFill="1" applyBorder="1" applyAlignment="1">
      <alignment horizontal="center" vertical="center"/>
    </xf>
    <xf numFmtId="2" fontId="0" fillId="16" borderId="35" xfId="0" applyNumberFormat="1" applyFill="1" applyBorder="1" applyAlignment="1">
      <alignment horizontal="center" vertical="center"/>
    </xf>
    <xf numFmtId="0" fontId="0" fillId="0" borderId="30" xfId="0" applyBorder="1"/>
    <xf numFmtId="2" fontId="1" fillId="0" borderId="31" xfId="0" applyNumberFormat="1" applyFont="1" applyBorder="1" applyAlignment="1">
      <alignment horizontal="center" vertical="center"/>
    </xf>
    <xf numFmtId="2" fontId="1" fillId="15" borderId="31" xfId="0" applyNumberFormat="1" applyFont="1" applyFill="1" applyBorder="1" applyAlignment="1">
      <alignment horizontal="center" vertical="center"/>
    </xf>
    <xf numFmtId="2" fontId="1" fillId="16" borderId="31" xfId="0" applyNumberFormat="1" applyFont="1" applyFill="1" applyBorder="1" applyAlignment="1">
      <alignment horizontal="center" vertical="center"/>
    </xf>
    <xf numFmtId="0" fontId="0" fillId="0" borderId="0" xfId="0" applyBorder="1"/>
    <xf numFmtId="2" fontId="0" fillId="0" borderId="32" xfId="0" applyNumberFormat="1" applyBorder="1" applyAlignment="1">
      <alignment horizontal="center" vertical="center"/>
    </xf>
    <xf numFmtId="2" fontId="0" fillId="14" borderId="32" xfId="0" applyNumberFormat="1" applyFill="1" applyBorder="1" applyAlignment="1">
      <alignment horizontal="center" vertical="center"/>
    </xf>
    <xf numFmtId="2" fontId="0" fillId="15" borderId="32" xfId="0" applyNumberFormat="1" applyFill="1" applyBorder="1" applyAlignment="1">
      <alignment horizontal="center" vertical="center"/>
    </xf>
    <xf numFmtId="2" fontId="0" fillId="16" borderId="32" xfId="0" applyNumberFormat="1" applyFill="1" applyBorder="1" applyAlignment="1">
      <alignment horizontal="center" vertical="center"/>
    </xf>
    <xf numFmtId="2" fontId="0" fillId="14" borderId="26" xfId="0" applyNumberFormat="1" applyFill="1" applyBorder="1" applyAlignment="1">
      <alignment horizontal="center" vertical="center"/>
    </xf>
    <xf numFmtId="0" fontId="0" fillId="14" borderId="0" xfId="0" applyNumberFormat="1" applyFill="1" applyAlignment="1">
      <alignment horizontal="center" vertical="center"/>
    </xf>
    <xf numFmtId="2" fontId="0" fillId="15" borderId="0" xfId="0" applyNumberFormat="1" applyFill="1" applyAlignment="1">
      <alignment horizontal="center"/>
    </xf>
    <xf numFmtId="2" fontId="0" fillId="16" borderId="27" xfId="0" applyNumberFormat="1" applyFill="1" applyBorder="1" applyAlignment="1">
      <alignment horizontal="center"/>
    </xf>
    <xf numFmtId="2" fontId="0" fillId="16" borderId="0" xfId="0" applyNumberFormat="1" applyFill="1" applyAlignment="1">
      <alignment horizontal="center"/>
    </xf>
    <xf numFmtId="2" fontId="0" fillId="16" borderId="28" xfId="0" applyNumberFormat="1" applyFill="1" applyBorder="1" applyAlignment="1">
      <alignment horizontal="center"/>
    </xf>
    <xf numFmtId="2" fontId="0" fillId="16" borderId="24" xfId="0" applyNumberFormat="1" applyFill="1" applyBorder="1" applyAlignment="1">
      <alignment horizontal="center"/>
    </xf>
    <xf numFmtId="2" fontId="0" fillId="16" borderId="21" xfId="0" applyNumberFormat="1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15" borderId="24" xfId="0" applyNumberFormat="1" applyFill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18" borderId="0" xfId="0" applyFill="1" applyAlignment="1">
      <alignment horizontal="center"/>
    </xf>
    <xf numFmtId="0" fontId="0" fillId="19" borderId="0" xfId="0" applyFill="1"/>
    <xf numFmtId="2" fontId="0" fillId="0" borderId="0" xfId="0" applyNumberFormat="1" applyBorder="1" applyAlignment="1"/>
    <xf numFmtId="2" fontId="0" fillId="16" borderId="0" xfId="0" applyNumberFormat="1" applyFill="1" applyBorder="1" applyAlignment="1">
      <alignment horizontal="center"/>
    </xf>
    <xf numFmtId="49" fontId="10" fillId="0" borderId="31" xfId="0" applyNumberFormat="1" applyFont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16" borderId="33" xfId="0" applyNumberFormat="1" applyFill="1" applyBorder="1" applyAlignment="1">
      <alignment horizontal="center" vertical="center"/>
    </xf>
    <xf numFmtId="2" fontId="0" fillId="14" borderId="35" xfId="0" applyNumberFormat="1" applyFill="1" applyBorder="1" applyAlignment="1">
      <alignment horizontal="center" vertical="center"/>
    </xf>
    <xf numFmtId="2" fontId="0" fillId="14" borderId="28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8" xfId="0" applyBorder="1"/>
    <xf numFmtId="0" fontId="0" fillId="0" borderId="28" xfId="0" applyBorder="1"/>
    <xf numFmtId="0" fontId="14" fillId="19" borderId="0" xfId="0" applyFont="1" applyFill="1"/>
    <xf numFmtId="0" fontId="5" fillId="6" borderId="0" xfId="0" applyFont="1" applyFill="1"/>
    <xf numFmtId="0" fontId="0" fillId="6" borderId="0" xfId="0" applyFill="1"/>
    <xf numFmtId="0" fontId="0" fillId="0" borderId="0" xfId="0" applyFill="1"/>
    <xf numFmtId="0" fontId="13" fillId="23" borderId="0" xfId="0" applyFont="1" applyFill="1" applyBorder="1"/>
    <xf numFmtId="0" fontId="4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3" fillId="17" borderId="18" xfId="0" applyNumberFormat="1" applyFont="1" applyFill="1" applyBorder="1" applyAlignment="1">
      <alignment horizontal="center"/>
    </xf>
    <xf numFmtId="2" fontId="3" fillId="17" borderId="19" xfId="0" applyNumberFormat="1" applyFont="1" applyFill="1" applyBorder="1" applyAlignment="1">
      <alignment horizontal="center"/>
    </xf>
    <xf numFmtId="2" fontId="3" fillId="17" borderId="20" xfId="0" applyNumberFormat="1" applyFont="1" applyFill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2" fontId="0" fillId="7" borderId="31" xfId="0" applyNumberFormat="1" applyFill="1" applyBorder="1" applyAlignment="1">
      <alignment horizontal="center"/>
    </xf>
    <xf numFmtId="0" fontId="0" fillId="19" borderId="30" xfId="0" applyFont="1" applyFill="1" applyBorder="1" applyAlignment="1">
      <alignment horizontal="center"/>
    </xf>
    <xf numFmtId="0" fontId="8" fillId="7" borderId="27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3" fillId="21" borderId="33" xfId="0" applyFont="1" applyFill="1" applyBorder="1" applyAlignment="1">
      <alignment horizontal="center"/>
    </xf>
    <xf numFmtId="0" fontId="13" fillId="21" borderId="34" xfId="0" applyFont="1" applyFill="1" applyBorder="1" applyAlignment="1">
      <alignment horizontal="center"/>
    </xf>
    <xf numFmtId="0" fontId="13" fillId="21" borderId="25" xfId="0" applyFont="1" applyFill="1" applyBorder="1" applyAlignment="1">
      <alignment horizontal="center"/>
    </xf>
    <xf numFmtId="0" fontId="7" fillId="20" borderId="2" xfId="0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7" fillId="20" borderId="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22" borderId="18" xfId="0" applyFont="1" applyFill="1" applyBorder="1" applyAlignment="1">
      <alignment horizontal="center"/>
    </xf>
    <xf numFmtId="0" fontId="13" fillId="22" borderId="19" xfId="0" applyFont="1" applyFill="1" applyBorder="1" applyAlignment="1">
      <alignment horizontal="center"/>
    </xf>
    <xf numFmtId="0" fontId="13" fillId="22" borderId="20" xfId="0" applyFont="1" applyFill="1" applyBorder="1" applyAlignment="1">
      <alignment horizontal="center"/>
    </xf>
    <xf numFmtId="2" fontId="0" fillId="7" borderId="33" xfId="0" applyNumberFormat="1" applyFill="1" applyBorder="1" applyAlignment="1">
      <alignment horizontal="center"/>
    </xf>
    <xf numFmtId="2" fontId="0" fillId="7" borderId="34" xfId="0" applyNumberFormat="1" applyFill="1" applyBorder="1" applyAlignment="1">
      <alignment horizontal="center"/>
    </xf>
    <xf numFmtId="2" fontId="0" fillId="7" borderId="25" xfId="0" applyNumberFormat="1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13" fillId="22" borderId="18" xfId="0" applyNumberFormat="1" applyFont="1" applyFill="1" applyBorder="1" applyAlignment="1">
      <alignment horizontal="center"/>
    </xf>
    <xf numFmtId="2" fontId="13" fillId="22" borderId="19" xfId="0" applyNumberFormat="1" applyFont="1" applyFill="1" applyBorder="1" applyAlignment="1">
      <alignment horizontal="center"/>
    </xf>
    <xf numFmtId="2" fontId="13" fillId="22" borderId="20" xfId="0" applyNumberFormat="1" applyFont="1" applyFill="1" applyBorder="1" applyAlignment="1">
      <alignment horizontal="center"/>
    </xf>
    <xf numFmtId="0" fontId="12" fillId="7" borderId="30" xfId="0" applyFont="1" applyFill="1" applyBorder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2" fillId="8" borderId="30" xfId="0" applyFont="1" applyFill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13" fillId="21" borderId="33" xfId="0" applyNumberFormat="1" applyFont="1" applyFill="1" applyBorder="1" applyAlignment="1">
      <alignment horizontal="center"/>
    </xf>
    <xf numFmtId="2" fontId="13" fillId="21" borderId="34" xfId="0" applyNumberFormat="1" applyFont="1" applyFill="1" applyBorder="1" applyAlignment="1">
      <alignment horizontal="center"/>
    </xf>
    <xf numFmtId="2" fontId="13" fillId="21" borderId="25" xfId="0" applyNumberFormat="1" applyFont="1" applyFill="1" applyBorder="1" applyAlignment="1">
      <alignment horizontal="center"/>
    </xf>
    <xf numFmtId="2" fontId="3" fillId="17" borderId="34" xfId="0" applyNumberFormat="1" applyFont="1" applyFill="1" applyBorder="1" applyAlignment="1">
      <alignment horizontal="center"/>
    </xf>
    <xf numFmtId="2" fontId="3" fillId="17" borderId="25" xfId="0" applyNumberFormat="1" applyFont="1" applyFill="1" applyBorder="1" applyAlignment="1">
      <alignment horizontal="center"/>
    </xf>
    <xf numFmtId="0" fontId="14" fillId="19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H2F1-RNAi</a:t>
            </a:r>
            <a:r>
              <a:rPr lang="en-US" sz="1400" baseline="0"/>
              <a:t>, RESC6-IP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'[1]Sheet 1'!$U$88:$U$90</c:f>
                <c:numCache>
                  <c:formatCode>General</c:formatCode>
                  <c:ptCount val="3"/>
                  <c:pt idx="0">
                    <c:v>1.9470147288467885</c:v>
                  </c:pt>
                  <c:pt idx="1">
                    <c:v>0.53133476723557016</c:v>
                  </c:pt>
                  <c:pt idx="2">
                    <c:v>0.23618450828452639</c:v>
                  </c:pt>
                </c:numCache>
              </c:numRef>
            </c:plus>
            <c:minus>
              <c:numRef>
                <c:f>'[1]Sheet 1'!$U$88:$U$90</c:f>
                <c:numCache>
                  <c:formatCode>General</c:formatCode>
                  <c:ptCount val="3"/>
                  <c:pt idx="0">
                    <c:v>1.9470147288467885</c:v>
                  </c:pt>
                  <c:pt idx="1">
                    <c:v>0.53133476723557016</c:v>
                  </c:pt>
                  <c:pt idx="2">
                    <c:v>0.23618450828452639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'[1]Sheet 1'!$S$88:$S$90</c:f>
              <c:strCache>
                <c:ptCount val="3"/>
                <c:pt idx="0">
                  <c:v>d0</c:v>
                </c:pt>
                <c:pt idx="1">
                  <c:v>d3</c:v>
                </c:pt>
                <c:pt idx="2">
                  <c:v>d4</c:v>
                </c:pt>
              </c:strCache>
            </c:strRef>
          </c:cat>
          <c:val>
            <c:numRef>
              <c:f>'[1]Sheet 1'!$T$88:$T$90</c:f>
              <c:numCache>
                <c:formatCode>General</c:formatCode>
                <c:ptCount val="3"/>
                <c:pt idx="0">
                  <c:v>37.839894970476948</c:v>
                </c:pt>
                <c:pt idx="1">
                  <c:v>40.404072046979699</c:v>
                </c:pt>
                <c:pt idx="2">
                  <c:v>43.010073617727699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E-444F-9E0B-DED0782BC1E7}"/>
            </c:ext>
          </c:extLst>
        </c:ser>
        <c:ser>
          <c:idx val="1"/>
          <c:order val="1"/>
          <c:tx>
            <c:v>2U-Ins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'[1]Sheet 1'!$W$88:$W$90</c:f>
                <c:numCache>
                  <c:formatCode>General</c:formatCode>
                  <c:ptCount val="3"/>
                  <c:pt idx="0">
                    <c:v>1.9917542920227536</c:v>
                  </c:pt>
                  <c:pt idx="1">
                    <c:v>0.45086271781438619</c:v>
                  </c:pt>
                  <c:pt idx="2">
                    <c:v>0.13890786068361452</c:v>
                  </c:pt>
                </c:numCache>
              </c:numRef>
            </c:plus>
            <c:minus>
              <c:numRef>
                <c:f>'[1]Sheet 1'!$W$88:$W$90</c:f>
                <c:numCache>
                  <c:formatCode>General</c:formatCode>
                  <c:ptCount val="3"/>
                  <c:pt idx="0">
                    <c:v>1.9917542920227536</c:v>
                  </c:pt>
                  <c:pt idx="1">
                    <c:v>0.45086271781438619</c:v>
                  </c:pt>
                  <c:pt idx="2">
                    <c:v>0.13890786068361452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'[1]Sheet 1'!$S$88:$S$90</c:f>
              <c:strCache>
                <c:ptCount val="3"/>
                <c:pt idx="0">
                  <c:v>d0</c:v>
                </c:pt>
                <c:pt idx="1">
                  <c:v>d3</c:v>
                </c:pt>
                <c:pt idx="2">
                  <c:v>d4</c:v>
                </c:pt>
              </c:strCache>
            </c:strRef>
          </c:cat>
          <c:val>
            <c:numRef>
              <c:f>'[1]Sheet 1'!$V$88:$V$90</c:f>
              <c:numCache>
                <c:formatCode>General</c:formatCode>
                <c:ptCount val="3"/>
                <c:pt idx="0">
                  <c:v>35.236582698506602</c:v>
                </c:pt>
                <c:pt idx="1">
                  <c:v>38.529050112781349</c:v>
                </c:pt>
                <c:pt idx="2">
                  <c:v>40.717577528959197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E-444F-9E0B-DED0782B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7776576"/>
        <c:axId val="1607537472"/>
      </c:barChart>
      <c:catAx>
        <c:axId val="160777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537472"/>
        <c:crosses val="autoZero"/>
        <c:auto val="1"/>
        <c:lblAlgn val="ctr"/>
        <c:lblOffset val="100"/>
        <c:noMultiLvlLbl val="0"/>
      </c:catAx>
      <c:valAx>
        <c:axId val="1607537472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776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H2F1-RNAi</a:t>
            </a:r>
            <a:r>
              <a:rPr lang="en-US" baseline="0"/>
              <a:t> RESC6-IP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1U-Ins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'[1]Sheet 1'!$U$100:$U$102</c:f>
                <c:numCache>
                  <c:formatCode>General</c:formatCode>
                  <c:ptCount val="3"/>
                  <c:pt idx="0">
                    <c:v>8.2753920565834943E-2</c:v>
                  </c:pt>
                  <c:pt idx="1">
                    <c:v>1.009671451555016E-3</c:v>
                  </c:pt>
                  <c:pt idx="2">
                    <c:v>8.3471151011178853E-3</c:v>
                  </c:pt>
                </c:numCache>
              </c:numRef>
            </c:plus>
            <c:minus>
              <c:numRef>
                <c:f>'[1]Sheet 1'!$U$100:$U$102</c:f>
                <c:numCache>
                  <c:formatCode>General</c:formatCode>
                  <c:ptCount val="3"/>
                  <c:pt idx="0">
                    <c:v>8.2753920565834943E-2</c:v>
                  </c:pt>
                  <c:pt idx="1">
                    <c:v>1.009671451555016E-3</c:v>
                  </c:pt>
                  <c:pt idx="2">
                    <c:v>8.3471151011178853E-3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'[1]Sheet 1'!$S$100:$S$102</c:f>
              <c:strCache>
                <c:ptCount val="3"/>
                <c:pt idx="0">
                  <c:v>d0</c:v>
                </c:pt>
                <c:pt idx="1">
                  <c:v>d3</c:v>
                </c:pt>
                <c:pt idx="2">
                  <c:v>d4</c:v>
                </c:pt>
              </c:strCache>
            </c:strRef>
          </c:cat>
          <c:val>
            <c:numRef>
              <c:f>'[1]Sheet 1'!$T$100:$T$102</c:f>
              <c:numCache>
                <c:formatCode>General</c:formatCode>
                <c:ptCount val="3"/>
                <c:pt idx="0">
                  <c:v>2.6849316258146949</c:v>
                </c:pt>
                <c:pt idx="1">
                  <c:v>2.0210733513679151</c:v>
                </c:pt>
                <c:pt idx="2">
                  <c:v>2.2871926242719951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7-3640-82FB-7FB4CEC2A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8194768"/>
        <c:axId val="1577465504"/>
      </c:barChart>
      <c:catAx>
        <c:axId val="161819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465504"/>
        <c:crosses val="autoZero"/>
        <c:auto val="1"/>
        <c:lblAlgn val="ctr"/>
        <c:lblOffset val="100"/>
        <c:noMultiLvlLbl val="0"/>
      </c:catAx>
      <c:valAx>
        <c:axId val="157746550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19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REH2-RNAi,</a:t>
            </a:r>
            <a:r>
              <a:rPr lang="en-US" sz="1400" baseline="0"/>
              <a:t> RESC6-IP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'[1]Sheet 1'!$AK$88:$AK$90</c:f>
                <c:numCache>
                  <c:formatCode>General</c:formatCode>
                  <c:ptCount val="3"/>
                  <c:pt idx="0">
                    <c:v>5.7982756057297413E-2</c:v>
                  </c:pt>
                  <c:pt idx="1">
                    <c:v>2.2464782438296611</c:v>
                  </c:pt>
                  <c:pt idx="2">
                    <c:v>0.5190163773909271</c:v>
                  </c:pt>
                </c:numCache>
              </c:numRef>
            </c:plus>
            <c:minus>
              <c:numRef>
                <c:f>'[1]Sheet 1'!$AK$88:$AK$90</c:f>
                <c:numCache>
                  <c:formatCode>General</c:formatCode>
                  <c:ptCount val="3"/>
                  <c:pt idx="0">
                    <c:v>5.7982756057297413E-2</c:v>
                  </c:pt>
                  <c:pt idx="1">
                    <c:v>2.2464782438296611</c:v>
                  </c:pt>
                  <c:pt idx="2">
                    <c:v>0.5190163773909271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'[1]Sheet 1'!$AI$88:$AI$90</c:f>
              <c:strCache>
                <c:ptCount val="3"/>
                <c:pt idx="0">
                  <c:v>d0</c:v>
                </c:pt>
                <c:pt idx="1">
                  <c:v>d3</c:v>
                </c:pt>
                <c:pt idx="2">
                  <c:v>d4</c:v>
                </c:pt>
              </c:strCache>
            </c:strRef>
          </c:cat>
          <c:val>
            <c:numRef>
              <c:f>'[1]Sheet 1'!$AJ$88:$AJ$90</c:f>
              <c:numCache>
                <c:formatCode>General</c:formatCode>
                <c:ptCount val="3"/>
                <c:pt idx="0">
                  <c:v>35.051000000000002</c:v>
                </c:pt>
                <c:pt idx="1">
                  <c:v>37.620999999999995</c:v>
                </c:pt>
                <c:pt idx="2">
                  <c:v>44.338999999999999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C-DC43-8263-FA01444325B1}"/>
            </c:ext>
          </c:extLst>
        </c:ser>
        <c:ser>
          <c:idx val="1"/>
          <c:order val="1"/>
          <c:tx>
            <c:v>2U-Ins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'[1]Sheet 1'!$AM$88:$AM$90</c:f>
                <c:numCache>
                  <c:formatCode>General</c:formatCode>
                  <c:ptCount val="3"/>
                  <c:pt idx="0">
                    <c:v>0.32630388060884652</c:v>
                  </c:pt>
                  <c:pt idx="1">
                    <c:v>0.93398796387071648</c:v>
                  </c:pt>
                  <c:pt idx="2">
                    <c:v>0.69868772303763105</c:v>
                  </c:pt>
                </c:numCache>
              </c:numRef>
            </c:plus>
            <c:minus>
              <c:numRef>
                <c:f>'[1]Sheet 1'!$AM$88:$AM$90</c:f>
                <c:numCache>
                  <c:formatCode>General</c:formatCode>
                  <c:ptCount val="3"/>
                  <c:pt idx="0">
                    <c:v>0.32630388060884652</c:v>
                  </c:pt>
                  <c:pt idx="1">
                    <c:v>0.93398796387071648</c:v>
                  </c:pt>
                  <c:pt idx="2">
                    <c:v>0.69868772303763105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'[1]Sheet 1'!$AI$88:$AI$90</c:f>
              <c:strCache>
                <c:ptCount val="3"/>
                <c:pt idx="0">
                  <c:v>d0</c:v>
                </c:pt>
                <c:pt idx="1">
                  <c:v>d3</c:v>
                </c:pt>
                <c:pt idx="2">
                  <c:v>d4</c:v>
                </c:pt>
              </c:strCache>
            </c:strRef>
          </c:cat>
          <c:val>
            <c:numRef>
              <c:f>'[1]Sheet 1'!$AL$88:$AL$90</c:f>
              <c:numCache>
                <c:formatCode>General</c:formatCode>
                <c:ptCount val="3"/>
                <c:pt idx="0">
                  <c:v>32.4953431894075</c:v>
                </c:pt>
                <c:pt idx="1">
                  <c:v>35.337263972125399</c:v>
                </c:pt>
                <c:pt idx="2">
                  <c:v>41.8240711846287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C-DC43-8263-FA014443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413680"/>
        <c:axId val="1617560064"/>
      </c:barChart>
      <c:catAx>
        <c:axId val="11924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560064"/>
        <c:crosses val="autoZero"/>
        <c:auto val="1"/>
        <c:lblAlgn val="ctr"/>
        <c:lblOffset val="100"/>
        <c:noMultiLvlLbl val="0"/>
      </c:catAx>
      <c:valAx>
        <c:axId val="161756006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413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REH2-RNAi</a:t>
            </a:r>
            <a:r>
              <a:rPr lang="en-US" baseline="0"/>
              <a:t> RESC6-IP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1U-Ins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'[1]Sheet 1'!$AK$100:$AK$102</c:f>
                <c:numCache>
                  <c:formatCode>General</c:formatCode>
                  <c:ptCount val="3"/>
                  <c:pt idx="0">
                    <c:v>0.12078733327520244</c:v>
                  </c:pt>
                  <c:pt idx="1">
                    <c:v>0.14199092047508152</c:v>
                  </c:pt>
                  <c:pt idx="2">
                    <c:v>0.16098128772792009</c:v>
                  </c:pt>
                </c:numCache>
              </c:numRef>
            </c:plus>
            <c:minus>
              <c:numRef>
                <c:f>'[1]Sheet 1'!$AK$100:$AK$102</c:f>
                <c:numCache>
                  <c:formatCode>General</c:formatCode>
                  <c:ptCount val="3"/>
                  <c:pt idx="0">
                    <c:v>0.12078733327520244</c:v>
                  </c:pt>
                  <c:pt idx="1">
                    <c:v>0.14199092047508152</c:v>
                  </c:pt>
                  <c:pt idx="2">
                    <c:v>0.16098128772792009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'[1]Sheet 1'!$AI$100:$AI$102</c:f>
              <c:strCache>
                <c:ptCount val="3"/>
                <c:pt idx="0">
                  <c:v>d0</c:v>
                </c:pt>
                <c:pt idx="1">
                  <c:v>d3</c:v>
                </c:pt>
                <c:pt idx="2">
                  <c:v>d4</c:v>
                </c:pt>
              </c:strCache>
            </c:strRef>
          </c:cat>
          <c:val>
            <c:numRef>
              <c:f>'[1]Sheet 1'!$AJ$100:$AJ$102</c:f>
              <c:numCache>
                <c:formatCode>General</c:formatCode>
                <c:ptCount val="3"/>
                <c:pt idx="0">
                  <c:v>2.454290410934505</c:v>
                </c:pt>
                <c:pt idx="1">
                  <c:v>2.3034015893323101</c:v>
                </c:pt>
                <c:pt idx="2">
                  <c:v>2.5195621185294854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2-EC44-96D5-023506388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6511712"/>
        <c:axId val="1618483648"/>
      </c:barChart>
      <c:catAx>
        <c:axId val="16065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483648"/>
        <c:crosses val="autoZero"/>
        <c:auto val="1"/>
        <c:lblAlgn val="ctr"/>
        <c:lblOffset val="100"/>
        <c:noMultiLvlLbl val="0"/>
      </c:catAx>
      <c:valAx>
        <c:axId val="16184836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5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KH2F1-RNAi</a:t>
            </a:r>
            <a:r>
              <a:rPr lang="en-US" baseline="0"/>
              <a:t> RESC6-IP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Inc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'[2]Sheet 1'!$U$88:$U$90</c:f>
                <c:numCache>
                  <c:formatCode>General</c:formatCode>
                  <c:ptCount val="3"/>
                  <c:pt idx="0">
                    <c:v>1.9470147288467885</c:v>
                  </c:pt>
                  <c:pt idx="1">
                    <c:v>0.53133476723557016</c:v>
                  </c:pt>
                  <c:pt idx="2">
                    <c:v>0.23618450828452639</c:v>
                  </c:pt>
                </c:numCache>
              </c:numRef>
            </c:plus>
            <c:minus>
              <c:numRef>
                <c:f>'[2]Sheet 1'!$U$88:$U$90</c:f>
                <c:numCache>
                  <c:formatCode>General</c:formatCode>
                  <c:ptCount val="3"/>
                  <c:pt idx="0">
                    <c:v>1.9470147288467885</c:v>
                  </c:pt>
                  <c:pt idx="1">
                    <c:v>0.53133476723557016</c:v>
                  </c:pt>
                  <c:pt idx="2">
                    <c:v>0.23618450828452639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'[2]Sheet 1'!$T$88:$T$90</c:f>
              <c:numCache>
                <c:formatCode>General</c:formatCode>
                <c:ptCount val="3"/>
                <c:pt idx="0">
                  <c:v>37.839894970476948</c:v>
                </c:pt>
                <c:pt idx="1">
                  <c:v>40.404072046979699</c:v>
                </c:pt>
                <c:pt idx="2">
                  <c:v>43.010073617727699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'[2]Sheet 1'!$S$88:$S$90</c15:sqref>
                        </c15:formulaRef>
                      </c:ext>
                    </c:extLst>
                    <c:strCache>
                      <c:ptCount val="3"/>
                      <c:pt idx="0">
                        <c:v>d0</c:v>
                      </c:pt>
                      <c:pt idx="1">
                        <c:v>d3</c:v>
                      </c:pt>
                      <c:pt idx="2">
                        <c:v>d4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D8-7144-9E43-5B43CE3B700B}"/>
            </c:ext>
          </c:extLst>
        </c:ser>
        <c:ser>
          <c:idx val="1"/>
          <c:order val="1"/>
          <c:tx>
            <c:v>2U-Ins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'[2]Sheet 1'!$W$88:$W$90</c:f>
                <c:numCache>
                  <c:formatCode>General</c:formatCode>
                  <c:ptCount val="3"/>
                  <c:pt idx="0">
                    <c:v>1.9917542920227536</c:v>
                  </c:pt>
                  <c:pt idx="1">
                    <c:v>0.45086271781438619</c:v>
                  </c:pt>
                  <c:pt idx="2">
                    <c:v>0.13890786068361452</c:v>
                  </c:pt>
                </c:numCache>
              </c:numRef>
            </c:plus>
            <c:minus>
              <c:numRef>
                <c:f>'[2]Sheet 1'!$W$88:$W$90</c:f>
                <c:numCache>
                  <c:formatCode>General</c:formatCode>
                  <c:ptCount val="3"/>
                  <c:pt idx="0">
                    <c:v>1.9917542920227536</c:v>
                  </c:pt>
                  <c:pt idx="1">
                    <c:v>0.45086271781438619</c:v>
                  </c:pt>
                  <c:pt idx="2">
                    <c:v>0.13890786068361452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'[2]Sheet 1'!$V$88:$V$90</c:f>
              <c:numCache>
                <c:formatCode>General</c:formatCode>
                <c:ptCount val="3"/>
                <c:pt idx="0">
                  <c:v>35.236582698506602</c:v>
                </c:pt>
                <c:pt idx="1">
                  <c:v>38.529050112781349</c:v>
                </c:pt>
                <c:pt idx="2">
                  <c:v>40.717577528959197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'[2]Sheet 1'!$S$88:$S$90</c15:sqref>
                        </c15:formulaRef>
                      </c:ext>
                    </c:extLst>
                    <c:strCache>
                      <c:ptCount val="3"/>
                      <c:pt idx="0">
                        <c:v>d0</c:v>
                      </c:pt>
                      <c:pt idx="1">
                        <c:v>d3</c:v>
                      </c:pt>
                      <c:pt idx="2">
                        <c:v>d4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2D8-7144-9E43-5B43CE3B7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607776576"/>
        <c:axId val="1607537472"/>
      </c:barChart>
      <c:catAx>
        <c:axId val="160777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537472"/>
        <c:crosses val="autoZero"/>
        <c:auto val="1"/>
        <c:lblAlgn val="ctr"/>
        <c:lblOffset val="100"/>
        <c:noMultiLvlLbl val="0"/>
      </c:catAx>
      <c:valAx>
        <c:axId val="1607537472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776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KREH2-RNAi</a:t>
            </a:r>
            <a:r>
              <a:rPr lang="en-US" baseline="0"/>
              <a:t> RESC6-IPs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Inc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'[2]Sheet 1'!$AK$88:$AK$90</c:f>
                <c:numCache>
                  <c:formatCode>General</c:formatCode>
                  <c:ptCount val="3"/>
                  <c:pt idx="0">
                    <c:v>5.7982756057297413E-2</c:v>
                  </c:pt>
                  <c:pt idx="1">
                    <c:v>2.2464782438296611</c:v>
                  </c:pt>
                  <c:pt idx="2">
                    <c:v>0.5190163773909271</c:v>
                  </c:pt>
                </c:numCache>
              </c:numRef>
            </c:plus>
            <c:minus>
              <c:numRef>
                <c:f>'[2]Sheet 1'!$AK$88:$AK$90</c:f>
                <c:numCache>
                  <c:formatCode>General</c:formatCode>
                  <c:ptCount val="3"/>
                  <c:pt idx="0">
                    <c:v>5.7982756057297413E-2</c:v>
                  </c:pt>
                  <c:pt idx="1">
                    <c:v>2.2464782438296611</c:v>
                  </c:pt>
                  <c:pt idx="2">
                    <c:v>0.5190163773909271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'[2]Sheet 1'!$AJ$88:$AJ$90</c:f>
              <c:numCache>
                <c:formatCode>General</c:formatCode>
                <c:ptCount val="3"/>
                <c:pt idx="0">
                  <c:v>35.051000000000002</c:v>
                </c:pt>
                <c:pt idx="1">
                  <c:v>37.620999999999995</c:v>
                </c:pt>
                <c:pt idx="2">
                  <c:v>44.338999999999999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'[2]Sheet 1'!$AI$88:$AI$90</c15:sqref>
                        </c15:formulaRef>
                      </c:ext>
                    </c:extLst>
                    <c:strCache>
                      <c:ptCount val="3"/>
                      <c:pt idx="0">
                        <c:v>d0</c:v>
                      </c:pt>
                      <c:pt idx="1">
                        <c:v>d3</c:v>
                      </c:pt>
                      <c:pt idx="2">
                        <c:v>d4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894-944C-84BB-667E115BD998}"/>
            </c:ext>
          </c:extLst>
        </c:ser>
        <c:ser>
          <c:idx val="1"/>
          <c:order val="1"/>
          <c:tx>
            <c:v>2U-Ins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'[2]Sheet 1'!$AM$88:$AM$90</c:f>
                <c:numCache>
                  <c:formatCode>General</c:formatCode>
                  <c:ptCount val="3"/>
                  <c:pt idx="0">
                    <c:v>0.32630388060884652</c:v>
                  </c:pt>
                  <c:pt idx="1">
                    <c:v>0.93398796387071648</c:v>
                  </c:pt>
                  <c:pt idx="2">
                    <c:v>0.69868772303763105</c:v>
                  </c:pt>
                </c:numCache>
              </c:numRef>
            </c:plus>
            <c:minus>
              <c:numRef>
                <c:f>'[2]Sheet 1'!$AM$88:$AM$90</c:f>
                <c:numCache>
                  <c:formatCode>General</c:formatCode>
                  <c:ptCount val="3"/>
                  <c:pt idx="0">
                    <c:v>0.32630388060884652</c:v>
                  </c:pt>
                  <c:pt idx="1">
                    <c:v>0.93398796387071648</c:v>
                  </c:pt>
                  <c:pt idx="2">
                    <c:v>0.69868772303763105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'[2]Sheet 1'!$AL$88:$AL$90</c:f>
              <c:numCache>
                <c:formatCode>General</c:formatCode>
                <c:ptCount val="3"/>
                <c:pt idx="0">
                  <c:v>32.4953431894075</c:v>
                </c:pt>
                <c:pt idx="1">
                  <c:v>35.337263972125399</c:v>
                </c:pt>
                <c:pt idx="2">
                  <c:v>41.8240711846287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'[2]Sheet 1'!$AI$88:$AI$90</c15:sqref>
                        </c15:formulaRef>
                      </c:ext>
                    </c:extLst>
                    <c:strCache>
                      <c:ptCount val="3"/>
                      <c:pt idx="0">
                        <c:v>d0</c:v>
                      </c:pt>
                      <c:pt idx="1">
                        <c:v>d3</c:v>
                      </c:pt>
                      <c:pt idx="2">
                        <c:v>d4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894-944C-84BB-667E115BD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92413680"/>
        <c:axId val="1617560064"/>
      </c:barChart>
      <c:catAx>
        <c:axId val="11924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560064"/>
        <c:crosses val="autoZero"/>
        <c:auto val="1"/>
        <c:lblAlgn val="ctr"/>
        <c:lblOffset val="100"/>
        <c:noMultiLvlLbl val="0"/>
      </c:catAx>
      <c:valAx>
        <c:axId val="161756006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413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KH2F1-RNAi</a:t>
            </a:r>
            <a:r>
              <a:rPr lang="en-US" baseline="0"/>
              <a:t> RESC6-IP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1U-Ins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'[1]Sheet 1'!$U$100:$U$102</c:f>
                <c:numCache>
                  <c:formatCode>General</c:formatCode>
                  <c:ptCount val="3"/>
                  <c:pt idx="0">
                    <c:v>8.2753920565834943E-2</c:v>
                  </c:pt>
                  <c:pt idx="1">
                    <c:v>1.009671451555016E-3</c:v>
                  </c:pt>
                  <c:pt idx="2">
                    <c:v>8.3471151011178853E-3</c:v>
                  </c:pt>
                </c:numCache>
              </c:numRef>
            </c:plus>
            <c:minus>
              <c:numRef>
                <c:f>'[1]Sheet 1'!$U$100:$U$102</c:f>
                <c:numCache>
                  <c:formatCode>General</c:formatCode>
                  <c:ptCount val="3"/>
                  <c:pt idx="0">
                    <c:v>8.2753920565834943E-2</c:v>
                  </c:pt>
                  <c:pt idx="1">
                    <c:v>1.009671451555016E-3</c:v>
                  </c:pt>
                  <c:pt idx="2">
                    <c:v>8.3471151011178853E-3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'[1]Sheet 1'!$S$100:$S$102</c:f>
              <c:strCache>
                <c:ptCount val="3"/>
                <c:pt idx="0">
                  <c:v>d0</c:v>
                </c:pt>
                <c:pt idx="1">
                  <c:v>d3</c:v>
                </c:pt>
                <c:pt idx="2">
                  <c:v>d4</c:v>
                </c:pt>
              </c:strCache>
            </c:strRef>
          </c:cat>
          <c:val>
            <c:numRef>
              <c:f>'[1]Sheet 1'!$T$100:$T$102</c:f>
              <c:numCache>
                <c:formatCode>General</c:formatCode>
                <c:ptCount val="3"/>
                <c:pt idx="0">
                  <c:v>2.6849316258146949</c:v>
                </c:pt>
                <c:pt idx="1">
                  <c:v>2.0210733513679151</c:v>
                </c:pt>
                <c:pt idx="2">
                  <c:v>2.2871926242719951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B-7247-BC87-4507600D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618194768"/>
        <c:axId val="1577465504"/>
      </c:barChart>
      <c:catAx>
        <c:axId val="161819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465504"/>
        <c:crosses val="autoZero"/>
        <c:auto val="1"/>
        <c:lblAlgn val="ctr"/>
        <c:lblOffset val="100"/>
        <c:noMultiLvlLbl val="0"/>
      </c:catAx>
      <c:valAx>
        <c:axId val="157746550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19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KREH2-RNAi</a:t>
            </a:r>
            <a:r>
              <a:rPr lang="en-US" baseline="0"/>
              <a:t> RESC6-IP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1U-Ins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'[1]Sheet 1'!$AK$100:$AK$102</c:f>
                <c:numCache>
                  <c:formatCode>General</c:formatCode>
                  <c:ptCount val="3"/>
                  <c:pt idx="0">
                    <c:v>0.12078733327520244</c:v>
                  </c:pt>
                  <c:pt idx="1">
                    <c:v>0.14199092047508152</c:v>
                  </c:pt>
                  <c:pt idx="2">
                    <c:v>0.16098128772792009</c:v>
                  </c:pt>
                </c:numCache>
              </c:numRef>
            </c:plus>
            <c:minus>
              <c:numRef>
                <c:f>'[1]Sheet 1'!$AK$100:$AK$102</c:f>
                <c:numCache>
                  <c:formatCode>General</c:formatCode>
                  <c:ptCount val="3"/>
                  <c:pt idx="0">
                    <c:v>0.12078733327520244</c:v>
                  </c:pt>
                  <c:pt idx="1">
                    <c:v>0.14199092047508152</c:v>
                  </c:pt>
                  <c:pt idx="2">
                    <c:v>0.16098128772792009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'[1]Sheet 1'!$AI$100:$AI$102</c:f>
              <c:strCache>
                <c:ptCount val="3"/>
                <c:pt idx="0">
                  <c:v>d0</c:v>
                </c:pt>
                <c:pt idx="1">
                  <c:v>d3</c:v>
                </c:pt>
                <c:pt idx="2">
                  <c:v>d4</c:v>
                </c:pt>
              </c:strCache>
            </c:strRef>
          </c:cat>
          <c:val>
            <c:numRef>
              <c:f>'[1]Sheet 1'!$AJ$100:$AJ$102</c:f>
              <c:numCache>
                <c:formatCode>General</c:formatCode>
                <c:ptCount val="3"/>
                <c:pt idx="0">
                  <c:v>2.454290410934505</c:v>
                </c:pt>
                <c:pt idx="1">
                  <c:v>2.3034015893323101</c:v>
                </c:pt>
                <c:pt idx="2">
                  <c:v>2.5195621185294854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6-8E47-B5E7-45121A53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606511712"/>
        <c:axId val="1618483648"/>
      </c:barChart>
      <c:catAx>
        <c:axId val="160651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483648"/>
        <c:crosses val="autoZero"/>
        <c:auto val="1"/>
        <c:lblAlgn val="ctr"/>
        <c:lblOffset val="100"/>
        <c:noMultiLvlLbl val="0"/>
      </c:catAx>
      <c:valAx>
        <c:axId val="16184836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5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149710</xdr:colOff>
      <xdr:row>50</xdr:row>
      <xdr:rowOff>194122</xdr:rowOff>
    </xdr:from>
    <xdr:to>
      <xdr:col>6</xdr:col>
      <xdr:colOff>834617</xdr:colOff>
      <xdr:row>64</xdr:row>
      <xdr:rowOff>101603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85AD24-C254-5145-BC3D-0F350E2AE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283135</xdr:colOff>
      <xdr:row>51</xdr:row>
      <xdr:rowOff>26894</xdr:rowOff>
    </xdr:from>
    <xdr:to>
      <xdr:col>12</xdr:col>
      <xdr:colOff>401008</xdr:colOff>
      <xdr:row>64</xdr:row>
      <xdr:rowOff>128493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E30BA35-78BC-294D-8FF9-F294AC778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908268</xdr:colOff>
      <xdr:row>51</xdr:row>
      <xdr:rowOff>76072</xdr:rowOff>
    </xdr:from>
    <xdr:to>
      <xdr:col>25</xdr:col>
      <xdr:colOff>395156</xdr:colOff>
      <xdr:row>64</xdr:row>
      <xdr:rowOff>203977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50ADC7-B2C7-044E-98AE-6A337A10F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223633</xdr:colOff>
      <xdr:row>51</xdr:row>
      <xdr:rowOff>28620</xdr:rowOff>
    </xdr:from>
    <xdr:to>
      <xdr:col>31</xdr:col>
      <xdr:colOff>426444</xdr:colOff>
      <xdr:row>65</xdr:row>
      <xdr:rowOff>911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92F411-D755-5A44-8547-EDF58A42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252406</xdr:colOff>
      <xdr:row>69</xdr:row>
      <xdr:rowOff>132836</xdr:rowOff>
    </xdr:from>
    <xdr:to>
      <xdr:col>17</xdr:col>
      <xdr:colOff>673482</xdr:colOff>
      <xdr:row>83</xdr:row>
      <xdr:rowOff>137869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21B35E-A01E-9249-9B59-6EB6BAA7F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275854</xdr:colOff>
      <xdr:row>69</xdr:row>
      <xdr:rowOff>169329</xdr:rowOff>
    </xdr:from>
    <xdr:to>
      <xdr:col>19</xdr:col>
      <xdr:colOff>701022</xdr:colOff>
      <xdr:row>83</xdr:row>
      <xdr:rowOff>118924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10255D5-D887-5A48-B731-3C340563F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385828</xdr:colOff>
      <xdr:row>84</xdr:row>
      <xdr:rowOff>137293</xdr:rowOff>
    </xdr:from>
    <xdr:to>
      <xdr:col>17</xdr:col>
      <xdr:colOff>635635</xdr:colOff>
      <xdr:row>98</xdr:row>
      <xdr:rowOff>30072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E57CD06-734B-484E-A5E4-9B4A4B32C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387886</xdr:colOff>
      <xdr:row>84</xdr:row>
      <xdr:rowOff>147607</xdr:rowOff>
    </xdr:from>
    <xdr:to>
      <xdr:col>19</xdr:col>
      <xdr:colOff>641860</xdr:colOff>
      <xdr:row>98</xdr:row>
      <xdr:rowOff>40387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8E6EDC9-7D79-0A42-AA68-520331B6E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uzrey/Documents/Illumina%202019/Illumina%20IPs%20_RNAi%202019/Zach%20Goodall%20/Numbered%20Excel%20files%20**/214_RPS12_High%20Incorrect_High%20Frequency%20Events_T-str%20136,142,146_12-20-19_jcr1_zg3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uzrey/Documents/Illumina%202019/Illumina%20IPs%20_RNAi%202019/Zach%20Goodall%20/Numbered%20Excel%20files%20**/214_RPS12_High%20Incorrect_High%20Frequency%20Events_T-str%20136,142,146_12-20-19_jcr1_zg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88">
          <cell r="S88" t="str">
            <v>d0</v>
          </cell>
          <cell r="T88">
            <v>37.839894970476948</v>
          </cell>
          <cell r="U88">
            <v>1.9470147288467885</v>
          </cell>
          <cell r="V88">
            <v>35.236582698506602</v>
          </cell>
          <cell r="W88">
            <v>1.9917542920227536</v>
          </cell>
          <cell r="AI88" t="str">
            <v>d0</v>
          </cell>
          <cell r="AJ88">
            <v>35.051000000000002</v>
          </cell>
          <cell r="AK88">
            <v>5.7982756057297413E-2</v>
          </cell>
          <cell r="AL88">
            <v>32.4953431894075</v>
          </cell>
          <cell r="AM88">
            <v>0.32630388060884652</v>
          </cell>
        </row>
        <row r="89">
          <cell r="S89" t="str">
            <v>d3</v>
          </cell>
          <cell r="T89">
            <v>40.404072046979699</v>
          </cell>
          <cell r="U89">
            <v>0.53133476723557016</v>
          </cell>
          <cell r="V89">
            <v>38.529050112781349</v>
          </cell>
          <cell r="W89">
            <v>0.45086271781438619</v>
          </cell>
          <cell r="AI89" t="str">
            <v>d3</v>
          </cell>
          <cell r="AJ89">
            <v>37.620999999999995</v>
          </cell>
          <cell r="AK89">
            <v>2.2464782438296611</v>
          </cell>
          <cell r="AL89">
            <v>35.337263972125399</v>
          </cell>
          <cell r="AM89">
            <v>0.93398796387071648</v>
          </cell>
        </row>
        <row r="90">
          <cell r="S90" t="str">
            <v>d4</v>
          </cell>
          <cell r="T90">
            <v>43.010073617727699</v>
          </cell>
          <cell r="U90">
            <v>0.23618450828452639</v>
          </cell>
          <cell r="V90">
            <v>40.717577528959197</v>
          </cell>
          <cell r="W90">
            <v>0.13890786068361452</v>
          </cell>
          <cell r="AI90" t="str">
            <v>d4</v>
          </cell>
          <cell r="AJ90">
            <v>44.338999999999999</v>
          </cell>
          <cell r="AK90">
            <v>0.5190163773909271</v>
          </cell>
          <cell r="AL90">
            <v>41.8240711846287</v>
          </cell>
          <cell r="AM90">
            <v>0.69868772303763105</v>
          </cell>
        </row>
        <row r="100">
          <cell r="S100" t="str">
            <v>d0</v>
          </cell>
          <cell r="T100">
            <v>2.6849316258146949</v>
          </cell>
          <cell r="U100">
            <v>8.2753920565834943E-2</v>
          </cell>
          <cell r="AI100" t="str">
            <v>d0</v>
          </cell>
          <cell r="AJ100">
            <v>2.454290410934505</v>
          </cell>
          <cell r="AK100">
            <v>0.12078733327520244</v>
          </cell>
        </row>
        <row r="101">
          <cell r="S101" t="str">
            <v>d3</v>
          </cell>
          <cell r="T101">
            <v>2.0210733513679151</v>
          </cell>
          <cell r="U101">
            <v>1.009671451555016E-3</v>
          </cell>
          <cell r="AI101" t="str">
            <v>d3</v>
          </cell>
          <cell r="AJ101">
            <v>2.3034015893323101</v>
          </cell>
          <cell r="AK101">
            <v>0.14199092047508152</v>
          </cell>
        </row>
        <row r="102">
          <cell r="S102" t="str">
            <v>d4</v>
          </cell>
          <cell r="T102">
            <v>2.2871926242719951</v>
          </cell>
          <cell r="U102">
            <v>8.3471151011178853E-3</v>
          </cell>
          <cell r="AI102" t="str">
            <v>d4</v>
          </cell>
          <cell r="AJ102">
            <v>2.5195621185294854</v>
          </cell>
          <cell r="AK102">
            <v>0.16098128772792009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88">
          <cell r="S88" t="str">
            <v>d0</v>
          </cell>
          <cell r="T88">
            <v>37.839894970476948</v>
          </cell>
          <cell r="U88">
            <v>1.9470147288467885</v>
          </cell>
          <cell r="V88">
            <v>35.236582698506602</v>
          </cell>
          <cell r="W88">
            <v>1.9917542920227536</v>
          </cell>
          <cell r="AI88" t="str">
            <v>d0</v>
          </cell>
          <cell r="AJ88">
            <v>35.051000000000002</v>
          </cell>
          <cell r="AK88">
            <v>5.7982756057297413E-2</v>
          </cell>
          <cell r="AL88">
            <v>32.4953431894075</v>
          </cell>
          <cell r="AM88">
            <v>0.32630388060884652</v>
          </cell>
        </row>
        <row r="89">
          <cell r="S89" t="str">
            <v>d3</v>
          </cell>
          <cell r="T89">
            <v>40.404072046979699</v>
          </cell>
          <cell r="U89">
            <v>0.53133476723557016</v>
          </cell>
          <cell r="V89">
            <v>38.529050112781349</v>
          </cell>
          <cell r="W89">
            <v>0.45086271781438619</v>
          </cell>
          <cell r="AI89" t="str">
            <v>d3</v>
          </cell>
          <cell r="AJ89">
            <v>37.620999999999995</v>
          </cell>
          <cell r="AK89">
            <v>2.2464782438296611</v>
          </cell>
          <cell r="AL89">
            <v>35.337263972125399</v>
          </cell>
          <cell r="AM89">
            <v>0.93398796387071648</v>
          </cell>
        </row>
        <row r="90">
          <cell r="S90" t="str">
            <v>d4</v>
          </cell>
          <cell r="T90">
            <v>43.010073617727699</v>
          </cell>
          <cell r="U90">
            <v>0.23618450828452639</v>
          </cell>
          <cell r="V90">
            <v>40.717577528959197</v>
          </cell>
          <cell r="W90">
            <v>0.13890786068361452</v>
          </cell>
          <cell r="AI90" t="str">
            <v>d4</v>
          </cell>
          <cell r="AJ90">
            <v>44.338999999999999</v>
          </cell>
          <cell r="AK90">
            <v>0.5190163773909271</v>
          </cell>
          <cell r="AL90">
            <v>41.8240711846287</v>
          </cell>
          <cell r="AM90">
            <v>0.69868772303763105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125"/>
  <sheetViews>
    <sheetView tabSelected="1" zoomScale="88" zoomScaleNormal="88" workbookViewId="0">
      <selection activeCell="V88" sqref="V88"/>
    </sheetView>
  </sheetViews>
  <sheetFormatPr baseColWidth="10" defaultRowHeight="16"/>
  <cols>
    <col min="7" max="7" width="12.1640625" bestFit="1" customWidth="1"/>
    <col min="8" max="8" width="8.6640625" customWidth="1"/>
    <col min="9" max="9" width="12.83203125" customWidth="1"/>
    <col min="10" max="10" width="12.1640625" bestFit="1" customWidth="1"/>
    <col min="11" max="11" width="8.6640625" customWidth="1"/>
    <col min="12" max="12" width="13" bestFit="1" customWidth="1"/>
    <col min="13" max="13" width="13" customWidth="1"/>
    <col min="14" max="14" width="8.6640625" customWidth="1"/>
    <col min="15" max="15" width="13" bestFit="1" customWidth="1"/>
    <col min="17" max="17" width="13.6640625" customWidth="1"/>
    <col min="18" max="18" width="11" customWidth="1"/>
    <col min="19" max="19" width="13" bestFit="1" customWidth="1"/>
    <col min="20" max="20" width="12.1640625" bestFit="1" customWidth="1"/>
    <col min="21" max="21" width="8.6640625" customWidth="1"/>
    <col min="22" max="22" width="13" bestFit="1" customWidth="1"/>
    <col min="23" max="23" width="12.1640625" bestFit="1" customWidth="1"/>
    <col min="24" max="24" width="11.1640625" customWidth="1"/>
    <col min="25" max="25" width="13" bestFit="1" customWidth="1"/>
    <col min="26" max="26" width="12.83203125" customWidth="1"/>
    <col min="31" max="31" width="11.5" customWidth="1"/>
  </cols>
  <sheetData>
    <row r="2" spans="1:39" ht="21">
      <c r="A2" s="116" t="s">
        <v>83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</row>
    <row r="3" spans="1:39" ht="21">
      <c r="A3" s="116" t="s">
        <v>81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</row>
    <row r="5" spans="1:39" ht="17" thickBot="1">
      <c r="C5" s="145" t="s">
        <v>86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7"/>
    </row>
    <row r="6" spans="1:39"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  <c r="V6" s="156" t="s">
        <v>87</v>
      </c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8"/>
    </row>
    <row r="7" spans="1:39" ht="17" thickBot="1">
      <c r="P7" s="80"/>
      <c r="Q7" s="80"/>
      <c r="R7" s="80"/>
      <c r="S7" s="80"/>
      <c r="T7" s="61"/>
      <c r="V7" s="159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1"/>
    </row>
    <row r="8" spans="1:39">
      <c r="T8" s="61"/>
      <c r="AI8" s="46"/>
      <c r="AJ8" s="46"/>
      <c r="AK8" s="46"/>
      <c r="AL8" s="46"/>
      <c r="AM8" s="60"/>
    </row>
    <row r="9" spans="1:39" ht="20" thickBot="1">
      <c r="E9" s="151" t="s">
        <v>38</v>
      </c>
      <c r="F9" s="152"/>
      <c r="G9" s="152"/>
      <c r="H9" s="152"/>
      <c r="I9" s="152"/>
      <c r="J9" s="152"/>
      <c r="K9" s="153" t="s">
        <v>39</v>
      </c>
      <c r="L9" s="154"/>
      <c r="M9" s="154"/>
      <c r="N9" s="154"/>
      <c r="O9" s="155"/>
      <c r="T9" s="61"/>
      <c r="AM9" s="61"/>
    </row>
    <row r="10" spans="1:39" ht="20" thickBot="1">
      <c r="B10" s="47"/>
      <c r="C10" s="54" t="s">
        <v>66</v>
      </c>
      <c r="D10" s="54" t="s">
        <v>41</v>
      </c>
      <c r="E10" s="56" t="s">
        <v>42</v>
      </c>
      <c r="F10" s="56" t="s">
        <v>43</v>
      </c>
      <c r="G10" s="56" t="s">
        <v>44</v>
      </c>
      <c r="H10" s="56" t="s">
        <v>45</v>
      </c>
      <c r="I10" s="56" t="s">
        <v>46</v>
      </c>
      <c r="J10" s="56" t="s">
        <v>47</v>
      </c>
      <c r="K10" s="62" t="s">
        <v>48</v>
      </c>
      <c r="L10" s="63" t="s">
        <v>49</v>
      </c>
      <c r="M10" s="63" t="s">
        <v>50</v>
      </c>
      <c r="N10" s="64" t="s">
        <v>51</v>
      </c>
      <c r="O10" s="64" t="s">
        <v>50</v>
      </c>
      <c r="T10" s="61"/>
      <c r="X10" s="162" t="s">
        <v>38</v>
      </c>
      <c r="Y10" s="163"/>
      <c r="Z10" s="163"/>
      <c r="AA10" s="163"/>
      <c r="AB10" s="163"/>
      <c r="AC10" s="164"/>
      <c r="AD10" s="165" t="s">
        <v>68</v>
      </c>
      <c r="AE10" s="166"/>
      <c r="AF10" s="166"/>
      <c r="AG10" s="166"/>
      <c r="AH10" s="167"/>
      <c r="AM10" s="61"/>
    </row>
    <row r="11" spans="1:39">
      <c r="B11" s="97" t="s">
        <v>52</v>
      </c>
      <c r="C11" s="65">
        <v>136</v>
      </c>
      <c r="D11" s="48" t="s">
        <v>53</v>
      </c>
      <c r="E11" s="49">
        <v>65.157899592183952</v>
      </c>
      <c r="F11" s="50">
        <v>2.0321548313640845</v>
      </c>
      <c r="G11" s="50">
        <v>34.842100407816048</v>
      </c>
      <c r="H11" s="50">
        <v>2.0321548313640845</v>
      </c>
      <c r="I11" s="50">
        <v>0.53548010831591109</v>
      </c>
      <c r="J11" s="51">
        <v>4.7888795374119691E-2</v>
      </c>
      <c r="K11" s="66">
        <v>1</v>
      </c>
      <c r="L11" s="67">
        <v>98.56105177947029</v>
      </c>
      <c r="M11" s="87">
        <v>0.21900327541230191</v>
      </c>
      <c r="N11" s="88">
        <v>34.534178442302803</v>
      </c>
      <c r="O11" s="89">
        <v>2.0644083849682215</v>
      </c>
      <c r="P11" s="55"/>
      <c r="Q11" s="55"/>
      <c r="R11" s="55"/>
      <c r="S11" s="55"/>
      <c r="T11" s="68"/>
      <c r="V11" s="54" t="s">
        <v>40</v>
      </c>
      <c r="W11" s="54" t="s">
        <v>41</v>
      </c>
      <c r="X11" s="56" t="s">
        <v>42</v>
      </c>
      <c r="Y11" s="56" t="s">
        <v>43</v>
      </c>
      <c r="Z11" s="56" t="s">
        <v>44</v>
      </c>
      <c r="AA11" s="56" t="s">
        <v>45</v>
      </c>
      <c r="AB11" s="56" t="s">
        <v>46</v>
      </c>
      <c r="AC11" s="56" t="s">
        <v>47</v>
      </c>
      <c r="AD11" s="54" t="s">
        <v>48</v>
      </c>
      <c r="AE11" s="103" t="s">
        <v>49</v>
      </c>
      <c r="AF11" s="103" t="s">
        <v>50</v>
      </c>
      <c r="AG11" s="104" t="s">
        <v>51</v>
      </c>
      <c r="AH11" s="104" t="s">
        <v>50</v>
      </c>
      <c r="AM11" s="61"/>
    </row>
    <row r="12" spans="1:39">
      <c r="B12" s="97" t="s">
        <v>52</v>
      </c>
      <c r="C12" s="69">
        <v>142</v>
      </c>
      <c r="D12" s="48" t="s">
        <v>53</v>
      </c>
      <c r="E12" s="52">
        <v>62.160105029523052</v>
      </c>
      <c r="F12" s="50">
        <v>1.9470147288467885</v>
      </c>
      <c r="G12" s="50">
        <v>37.839894970476948</v>
      </c>
      <c r="H12" s="50">
        <v>1.9470147288467885</v>
      </c>
      <c r="I12" s="50">
        <v>0.609538452719247</v>
      </c>
      <c r="J12" s="51">
        <v>5.0414893485159845E-2</v>
      </c>
      <c r="K12" s="70">
        <v>2</v>
      </c>
      <c r="L12" s="67">
        <v>92.459836848300341</v>
      </c>
      <c r="M12" s="87">
        <v>0.65325071975400406</v>
      </c>
      <c r="N12" s="90">
        <v>35.236582698506602</v>
      </c>
      <c r="O12" s="89">
        <v>1.9917542920227536</v>
      </c>
      <c r="P12" s="55"/>
      <c r="Q12" s="55"/>
      <c r="R12" s="55"/>
      <c r="S12" s="55"/>
      <c r="T12" s="68"/>
      <c r="V12" s="65">
        <v>136</v>
      </c>
      <c r="W12" s="48" t="s">
        <v>53</v>
      </c>
      <c r="X12" s="49">
        <v>66.08850000000001</v>
      </c>
      <c r="Y12" s="50">
        <v>0.45184123317820091</v>
      </c>
      <c r="Z12" s="50">
        <v>33.911500000000004</v>
      </c>
      <c r="AA12" s="50">
        <v>0.4518412331782059</v>
      </c>
      <c r="AB12" s="50">
        <v>0.51315</v>
      </c>
      <c r="AC12" s="51">
        <v>1.0394469683442204E-2</v>
      </c>
      <c r="AD12" s="105">
        <v>1</v>
      </c>
      <c r="AE12" s="67">
        <v>98.169646036509846</v>
      </c>
      <c r="AF12" s="87">
        <v>4.3297199813974993E-2</v>
      </c>
      <c r="AG12" s="89">
        <v>33.304253443599499</v>
      </c>
      <c r="AH12" s="89">
        <v>0.53938723561481394</v>
      </c>
      <c r="AI12" s="55"/>
      <c r="AJ12" s="55"/>
      <c r="AK12" s="55"/>
      <c r="AL12" s="55"/>
      <c r="AM12" s="68"/>
    </row>
    <row r="13" spans="1:39">
      <c r="B13" s="98" t="s">
        <v>8</v>
      </c>
      <c r="C13" s="71">
        <v>146</v>
      </c>
      <c r="D13" s="48" t="s">
        <v>53</v>
      </c>
      <c r="E13" s="52">
        <v>72.058616327198152</v>
      </c>
      <c r="F13" s="50">
        <v>1.7529229420370225</v>
      </c>
      <c r="G13" s="50">
        <v>24.871870342826451</v>
      </c>
      <c r="H13" s="50">
        <v>2.0659014168528538</v>
      </c>
      <c r="I13" s="50">
        <v>0.34561261891338851</v>
      </c>
      <c r="J13" s="51">
        <v>3.7077227426516285E-2</v>
      </c>
      <c r="K13" s="70">
        <v>0</v>
      </c>
      <c r="L13" s="67">
        <v>81.606917207756709</v>
      </c>
      <c r="M13" s="87">
        <v>1.8328722241447173</v>
      </c>
      <c r="N13" s="90">
        <v>20.4407648062029</v>
      </c>
      <c r="O13" s="89">
        <v>2.0681223322113738</v>
      </c>
      <c r="P13" s="55"/>
      <c r="Q13" s="55"/>
      <c r="R13" s="55"/>
      <c r="S13" s="55"/>
      <c r="T13" s="68"/>
      <c r="V13" s="69">
        <v>142</v>
      </c>
      <c r="W13" s="48" t="s">
        <v>53</v>
      </c>
      <c r="X13" s="52">
        <v>64.948999999999998</v>
      </c>
      <c r="Y13" s="50">
        <v>5.7982756057292396E-2</v>
      </c>
      <c r="Z13" s="50">
        <v>35.051000000000002</v>
      </c>
      <c r="AA13" s="50">
        <v>5.7982756057297413E-2</v>
      </c>
      <c r="AB13" s="50">
        <v>0.53964999999999996</v>
      </c>
      <c r="AC13" s="51">
        <v>1.3435028842544493E-3</v>
      </c>
      <c r="AD13" s="106">
        <v>2</v>
      </c>
      <c r="AE13" s="67">
        <v>92.518107946463843</v>
      </c>
      <c r="AF13" s="87">
        <v>0.48849945049574917</v>
      </c>
      <c r="AG13" s="89">
        <v>32.4953431894075</v>
      </c>
      <c r="AH13" s="89">
        <v>0.32630388060884652</v>
      </c>
      <c r="AI13" s="55"/>
      <c r="AJ13" s="55"/>
      <c r="AK13" s="55"/>
      <c r="AL13" s="55"/>
      <c r="AM13" s="68"/>
    </row>
    <row r="14" spans="1:39"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68"/>
      <c r="V14" s="71">
        <v>146</v>
      </c>
      <c r="W14" s="48" t="s">
        <v>53</v>
      </c>
      <c r="X14" s="52">
        <v>71.87</v>
      </c>
      <c r="Y14" s="50">
        <v>0.39173715677734877</v>
      </c>
      <c r="Z14" s="50">
        <v>25.157</v>
      </c>
      <c r="AA14" s="50">
        <v>0.55437171645025252</v>
      </c>
      <c r="AB14" s="50">
        <v>0.35009999999999997</v>
      </c>
      <c r="AC14" s="51">
        <v>9.6166522241370473E-3</v>
      </c>
      <c r="AD14" s="106">
        <v>0</v>
      </c>
      <c r="AE14" s="67">
        <v>84.794746761818004</v>
      </c>
      <c r="AF14" s="87">
        <v>0.98042075146045093</v>
      </c>
      <c r="AG14" s="89">
        <v>21.386235943562149</v>
      </c>
      <c r="AH14" s="89">
        <v>0.80147749300205917</v>
      </c>
      <c r="AI14" s="55"/>
      <c r="AJ14" s="55"/>
      <c r="AK14" s="55"/>
      <c r="AL14" s="55"/>
      <c r="AM14" s="68"/>
    </row>
    <row r="15" spans="1:39"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68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68"/>
    </row>
    <row r="16" spans="1:39"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68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68"/>
    </row>
    <row r="17" spans="2:39" ht="20" thickBot="1">
      <c r="E17" s="180" t="s">
        <v>38</v>
      </c>
      <c r="F17" s="181"/>
      <c r="G17" s="181"/>
      <c r="H17" s="181"/>
      <c r="I17" s="181"/>
      <c r="J17" s="181"/>
      <c r="K17" s="182" t="s">
        <v>39</v>
      </c>
      <c r="L17" s="183"/>
      <c r="M17" s="183"/>
      <c r="N17" s="183"/>
      <c r="O17" s="184"/>
      <c r="P17" s="185" t="s">
        <v>54</v>
      </c>
      <c r="Q17" s="185"/>
      <c r="R17" s="185"/>
      <c r="S17" s="185"/>
      <c r="T17" s="18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68"/>
    </row>
    <row r="18" spans="2:39" ht="20" thickBot="1">
      <c r="B18" s="47"/>
      <c r="C18" s="54" t="s">
        <v>66</v>
      </c>
      <c r="D18" s="54" t="s">
        <v>41</v>
      </c>
      <c r="E18" s="81" t="s">
        <v>42</v>
      </c>
      <c r="F18" s="81" t="s">
        <v>43</v>
      </c>
      <c r="G18" s="81" t="s">
        <v>44</v>
      </c>
      <c r="H18" s="81" t="s">
        <v>45</v>
      </c>
      <c r="I18" s="81" t="s">
        <v>46</v>
      </c>
      <c r="J18" s="81" t="s">
        <v>47</v>
      </c>
      <c r="K18" s="82" t="s">
        <v>48</v>
      </c>
      <c r="L18" s="83" t="s">
        <v>49</v>
      </c>
      <c r="M18" s="83" t="s">
        <v>50</v>
      </c>
      <c r="N18" s="84" t="s">
        <v>51</v>
      </c>
      <c r="O18" s="84" t="s">
        <v>50</v>
      </c>
      <c r="P18" s="85" t="s">
        <v>48</v>
      </c>
      <c r="Q18" s="83" t="s">
        <v>49</v>
      </c>
      <c r="R18" s="83" t="s">
        <v>50</v>
      </c>
      <c r="S18" s="84" t="s">
        <v>51</v>
      </c>
      <c r="T18" s="84" t="s">
        <v>50</v>
      </c>
      <c r="X18" s="171" t="s">
        <v>38</v>
      </c>
      <c r="Y18" s="172"/>
      <c r="Z18" s="172"/>
      <c r="AA18" s="172"/>
      <c r="AB18" s="172"/>
      <c r="AC18" s="173"/>
      <c r="AD18" s="174" t="s">
        <v>70</v>
      </c>
      <c r="AE18" s="175"/>
      <c r="AF18" s="175"/>
      <c r="AG18" s="175"/>
      <c r="AH18" s="176"/>
      <c r="AI18" s="137" t="s">
        <v>69</v>
      </c>
      <c r="AJ18" s="138"/>
      <c r="AK18" s="138"/>
      <c r="AL18" s="138"/>
      <c r="AM18" s="139"/>
    </row>
    <row r="19" spans="2:39">
      <c r="B19" s="47"/>
      <c r="C19" s="69">
        <v>142</v>
      </c>
      <c r="D19" s="48" t="s">
        <v>53</v>
      </c>
      <c r="E19" s="49">
        <v>62.160105029523052</v>
      </c>
      <c r="F19" s="50">
        <v>1.9470147288467885</v>
      </c>
      <c r="G19" s="50">
        <v>37.839894970476948</v>
      </c>
      <c r="H19" s="50">
        <v>1.9470147288467885</v>
      </c>
      <c r="I19" s="50">
        <v>0.609538452719247</v>
      </c>
      <c r="J19" s="51">
        <v>5.0414893485159845E-2</v>
      </c>
      <c r="K19" s="66">
        <v>2</v>
      </c>
      <c r="L19" s="87">
        <v>92.459836848300341</v>
      </c>
      <c r="M19" s="87">
        <v>0.65325071975400406</v>
      </c>
      <c r="N19" s="89">
        <v>35.236582698506602</v>
      </c>
      <c r="O19" s="91">
        <v>1.9917542920227536</v>
      </c>
      <c r="P19" s="86">
        <v>1</v>
      </c>
      <c r="Q19" s="87">
        <v>7.0604302769569047</v>
      </c>
      <c r="R19" s="87">
        <v>0.56646023127329193</v>
      </c>
      <c r="S19" s="89">
        <v>2.6849316258146949</v>
      </c>
      <c r="T19" s="92">
        <v>8.2753920565834943E-2</v>
      </c>
      <c r="V19" s="54" t="s">
        <v>40</v>
      </c>
      <c r="W19" s="54" t="s">
        <v>41</v>
      </c>
      <c r="X19" s="72" t="s">
        <v>42</v>
      </c>
      <c r="Y19" s="72" t="s">
        <v>43</v>
      </c>
      <c r="Z19" s="72" t="s">
        <v>44</v>
      </c>
      <c r="AA19" s="72" t="s">
        <v>45</v>
      </c>
      <c r="AB19" s="72" t="s">
        <v>46</v>
      </c>
      <c r="AC19" s="107" t="s">
        <v>47</v>
      </c>
      <c r="AD19" s="108" t="s">
        <v>48</v>
      </c>
      <c r="AE19" s="73" t="s">
        <v>49</v>
      </c>
      <c r="AF19" s="73" t="s">
        <v>50</v>
      </c>
      <c r="AG19" s="74" t="s">
        <v>51</v>
      </c>
      <c r="AH19" s="109" t="s">
        <v>50</v>
      </c>
      <c r="AI19" s="110" t="s">
        <v>48</v>
      </c>
      <c r="AJ19" s="73" t="s">
        <v>49</v>
      </c>
      <c r="AK19" s="73" t="s">
        <v>50</v>
      </c>
      <c r="AL19" s="74" t="s">
        <v>51</v>
      </c>
      <c r="AM19" s="75" t="s">
        <v>50</v>
      </c>
    </row>
    <row r="20" spans="2:39">
      <c r="B20" s="47"/>
      <c r="C20" s="69">
        <v>142</v>
      </c>
      <c r="D20" s="48" t="s">
        <v>55</v>
      </c>
      <c r="E20" s="52">
        <v>59.595927953020301</v>
      </c>
      <c r="F20" s="50">
        <v>0.61660973459845081</v>
      </c>
      <c r="G20" s="50">
        <v>40.404072046979699</v>
      </c>
      <c r="H20" s="50">
        <v>0.53133476723557016</v>
      </c>
      <c r="I20" s="50">
        <v>0.65548358445240096</v>
      </c>
      <c r="J20" s="51">
        <v>1.456133493688502E-2</v>
      </c>
      <c r="K20" s="70">
        <v>2</v>
      </c>
      <c r="L20" s="87">
        <v>94.800271137385437</v>
      </c>
      <c r="M20" s="87">
        <v>7.7240899267722068E-2</v>
      </c>
      <c r="N20" s="89">
        <v>38.529050112781349</v>
      </c>
      <c r="O20" s="91">
        <v>0.45086271781438619</v>
      </c>
      <c r="P20" s="86">
        <v>1</v>
      </c>
      <c r="Q20" s="87">
        <v>4.9731302923635354</v>
      </c>
      <c r="R20" s="87">
        <v>5.1659004915014156E-2</v>
      </c>
      <c r="S20" s="89">
        <v>2.0210733513679151</v>
      </c>
      <c r="T20" s="92">
        <v>1.009671451555016E-3</v>
      </c>
      <c r="V20" s="69">
        <v>142</v>
      </c>
      <c r="W20" s="48" t="s">
        <v>53</v>
      </c>
      <c r="X20" s="49">
        <v>64.948999999999998</v>
      </c>
      <c r="Y20" s="50">
        <v>5.7982756057292396E-2</v>
      </c>
      <c r="Z20" s="50">
        <v>35.051000000000002</v>
      </c>
      <c r="AA20" s="50">
        <v>5.7982756057297413E-2</v>
      </c>
      <c r="AB20" s="50">
        <v>0.53964999999999996</v>
      </c>
      <c r="AC20" s="51">
        <v>1.3435028842544493E-3</v>
      </c>
      <c r="AD20" s="106">
        <v>2</v>
      </c>
      <c r="AE20" s="87">
        <v>92.518107946463843</v>
      </c>
      <c r="AF20" s="87">
        <v>0.48849945049574917</v>
      </c>
      <c r="AG20" s="89">
        <v>32.4953431894075</v>
      </c>
      <c r="AH20" s="89">
        <v>0.32630388060884652</v>
      </c>
      <c r="AI20" s="111">
        <v>1</v>
      </c>
      <c r="AJ20" s="87">
        <v>6.9886426137989046</v>
      </c>
      <c r="AK20" s="87">
        <v>0.37717765142694015</v>
      </c>
      <c r="AL20" s="89">
        <v>2.454290410934505</v>
      </c>
      <c r="AM20" s="92">
        <v>0.12078733327520244</v>
      </c>
    </row>
    <row r="21" spans="2:39">
      <c r="B21" s="47"/>
      <c r="C21" s="69">
        <v>142</v>
      </c>
      <c r="D21" s="48" t="s">
        <v>56</v>
      </c>
      <c r="E21" s="52">
        <v>56.989926382272301</v>
      </c>
      <c r="F21" s="50">
        <v>0.23618450828452639</v>
      </c>
      <c r="G21" s="50">
        <v>43.010073617727699</v>
      </c>
      <c r="H21" s="50">
        <v>0.23618450828452639</v>
      </c>
      <c r="I21" s="50">
        <v>0.75471114151176755</v>
      </c>
      <c r="J21" s="51">
        <v>7.2720849884833584E-3</v>
      </c>
      <c r="K21" s="70">
        <v>2</v>
      </c>
      <c r="L21" s="87">
        <v>94.499208802348505</v>
      </c>
      <c r="M21" s="87">
        <v>9.8224283119484855E-3</v>
      </c>
      <c r="N21" s="89">
        <v>40.717577528959197</v>
      </c>
      <c r="O21" s="91">
        <v>0.13890786068361452</v>
      </c>
      <c r="P21" s="86">
        <v>1</v>
      </c>
      <c r="Q21" s="87">
        <v>5.3082186138685596</v>
      </c>
      <c r="R21" s="87">
        <v>7.1165077382745305E-4</v>
      </c>
      <c r="S21" s="89">
        <v>2.2871926242719951</v>
      </c>
      <c r="T21" s="92">
        <v>8.3471151011178853E-3</v>
      </c>
      <c r="V21" s="69">
        <v>142</v>
      </c>
      <c r="W21" s="48" t="s">
        <v>55</v>
      </c>
      <c r="X21" s="52">
        <v>62.379000000000005</v>
      </c>
      <c r="Y21" s="50">
        <v>0.91641038841776512</v>
      </c>
      <c r="Z21" s="50">
        <v>37.620999999999995</v>
      </c>
      <c r="AA21" s="50">
        <v>2.2464782438296611</v>
      </c>
      <c r="AB21" s="50">
        <v>0.58024999999999993</v>
      </c>
      <c r="AC21" s="51">
        <v>5.6073567748093245E-2</v>
      </c>
      <c r="AD21" s="106">
        <v>2</v>
      </c>
      <c r="AE21" s="87">
        <v>93.491161902083803</v>
      </c>
      <c r="AF21" s="87">
        <v>0.48829720697517665</v>
      </c>
      <c r="AG21" s="89">
        <v>35.337263972125399</v>
      </c>
      <c r="AH21" s="89">
        <v>0.93398796387071648</v>
      </c>
      <c r="AI21" s="111">
        <v>1</v>
      </c>
      <c r="AJ21" s="87">
        <v>6.0997614800852196</v>
      </c>
      <c r="AK21" s="87">
        <v>0.50505481666911489</v>
      </c>
      <c r="AL21" s="89">
        <v>2.3034015893323101</v>
      </c>
      <c r="AM21" s="92">
        <v>0.14199092047508152</v>
      </c>
    </row>
    <row r="22" spans="2:39"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68"/>
      <c r="V22" s="69">
        <v>142</v>
      </c>
      <c r="W22" s="48" t="s">
        <v>56</v>
      </c>
      <c r="X22" s="52">
        <v>55.661000000000001</v>
      </c>
      <c r="Y22" s="50">
        <v>0.5190163773909271</v>
      </c>
      <c r="Z22" s="50">
        <v>44.338999999999999</v>
      </c>
      <c r="AA22" s="50">
        <v>0.5190163773909271</v>
      </c>
      <c r="AB22" s="50">
        <v>0.79665000000000008</v>
      </c>
      <c r="AC22" s="51">
        <v>1.6758430714121135E-2</v>
      </c>
      <c r="AD22" s="106">
        <v>2</v>
      </c>
      <c r="AE22" s="87">
        <v>94.00503626869336</v>
      </c>
      <c r="AF22" s="87">
        <v>0.39475984453853841</v>
      </c>
      <c r="AG22" s="89">
        <v>41.8240711846287</v>
      </c>
      <c r="AH22" s="89">
        <v>0.69868772303763105</v>
      </c>
      <c r="AI22" s="111">
        <v>1</v>
      </c>
      <c r="AJ22" s="87">
        <v>5.6658978182304054</v>
      </c>
      <c r="AK22" s="87">
        <v>0.43269635342106366</v>
      </c>
      <c r="AL22" s="89">
        <v>2.5195621185294854</v>
      </c>
      <c r="AM22" s="92">
        <v>0.16098128772792009</v>
      </c>
    </row>
    <row r="23" spans="2:39"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68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68"/>
    </row>
    <row r="24" spans="2:39"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68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68"/>
    </row>
    <row r="25" spans="2:39"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68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68"/>
    </row>
    <row r="26" spans="2:39">
      <c r="E26" s="55"/>
      <c r="F26" s="140" t="s">
        <v>57</v>
      </c>
      <c r="G26" s="141"/>
      <c r="H26" s="141"/>
      <c r="I26" s="142"/>
      <c r="J26" s="140" t="s">
        <v>65</v>
      </c>
      <c r="K26" s="141"/>
      <c r="L26" s="141"/>
      <c r="M26" s="142"/>
      <c r="N26" s="55"/>
      <c r="O26" s="55"/>
      <c r="P26" s="55"/>
      <c r="Q26" s="55"/>
      <c r="R26" s="55"/>
      <c r="S26" s="55"/>
      <c r="T26" s="68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68"/>
    </row>
    <row r="27" spans="2:39">
      <c r="C27" s="54" t="s">
        <v>66</v>
      </c>
      <c r="D27" s="54" t="s">
        <v>41</v>
      </c>
      <c r="E27" s="72" t="s">
        <v>58</v>
      </c>
      <c r="F27" s="77" t="s">
        <v>59</v>
      </c>
      <c r="G27" s="77" t="s">
        <v>60</v>
      </c>
      <c r="H27" s="78" t="s">
        <v>61</v>
      </c>
      <c r="I27" s="78" t="s">
        <v>50</v>
      </c>
      <c r="J27" s="77" t="s">
        <v>59</v>
      </c>
      <c r="K27" s="77" t="s">
        <v>60</v>
      </c>
      <c r="L27" s="79" t="s">
        <v>61</v>
      </c>
      <c r="M27" s="79" t="s">
        <v>50</v>
      </c>
      <c r="N27" s="55"/>
      <c r="O27" s="55"/>
      <c r="P27" s="55"/>
      <c r="Q27" s="55"/>
      <c r="R27" s="55"/>
      <c r="S27" s="55"/>
      <c r="T27" s="68"/>
      <c r="X27" s="55"/>
      <c r="Y27" s="140" t="s">
        <v>57</v>
      </c>
      <c r="Z27" s="141"/>
      <c r="AA27" s="141"/>
      <c r="AB27" s="142"/>
      <c r="AC27" s="140" t="s">
        <v>65</v>
      </c>
      <c r="AD27" s="141"/>
      <c r="AE27" s="141"/>
      <c r="AF27" s="142"/>
      <c r="AG27" s="55"/>
      <c r="AH27" s="55"/>
      <c r="AI27" s="55"/>
      <c r="AJ27" s="55"/>
      <c r="AK27" s="55"/>
      <c r="AL27" s="55"/>
      <c r="AM27" s="68"/>
    </row>
    <row r="28" spans="2:39">
      <c r="B28" s="47"/>
      <c r="C28" s="65">
        <v>136</v>
      </c>
      <c r="D28" s="48" t="s">
        <v>53</v>
      </c>
      <c r="E28" s="48">
        <v>1</v>
      </c>
      <c r="F28" s="93">
        <f>100*0.984061930783242</f>
        <v>98.406193078324193</v>
      </c>
      <c r="G28" s="53">
        <f>100*0.987159104806164</f>
        <v>98.715910480616401</v>
      </c>
      <c r="H28" s="87">
        <f>AVERAGE(F28,G28)</f>
        <v>98.56105177947029</v>
      </c>
      <c r="I28" s="94">
        <f>STDEV(F28,G28)</f>
        <v>0.21900327541230191</v>
      </c>
      <c r="J28" s="53">
        <f>100*0.330744212741534</f>
        <v>33.074421274153401</v>
      </c>
      <c r="K28" s="53">
        <f>100*0.359939356104522</f>
        <v>35.993935610452198</v>
      </c>
      <c r="L28" s="89">
        <f>AVERAGE(J28,K28)</f>
        <v>34.534178442302803</v>
      </c>
      <c r="M28" s="91">
        <f>STDEV(J28,K28)</f>
        <v>2.0644083849682215</v>
      </c>
      <c r="T28" s="68"/>
      <c r="V28" s="76"/>
      <c r="W28" s="54" t="s">
        <v>41</v>
      </c>
      <c r="X28" s="72" t="s">
        <v>58</v>
      </c>
      <c r="Y28" s="77" t="s">
        <v>59</v>
      </c>
      <c r="Z28" s="77" t="s">
        <v>60</v>
      </c>
      <c r="AA28" s="78" t="s">
        <v>61</v>
      </c>
      <c r="AB28" s="78" t="s">
        <v>50</v>
      </c>
      <c r="AC28" s="77" t="s">
        <v>59</v>
      </c>
      <c r="AD28" s="77" t="s">
        <v>60</v>
      </c>
      <c r="AE28" s="79" t="s">
        <v>61</v>
      </c>
      <c r="AF28" s="79" t="s">
        <v>50</v>
      </c>
      <c r="AG28" s="55"/>
      <c r="AH28" s="55"/>
      <c r="AI28" s="55"/>
      <c r="AJ28" s="55"/>
      <c r="AK28" s="55"/>
      <c r="AL28" s="55"/>
      <c r="AM28" s="68"/>
    </row>
    <row r="29" spans="2:39">
      <c r="B29" s="47"/>
      <c r="C29" s="69">
        <v>142</v>
      </c>
      <c r="D29" s="48" t="s">
        <v>53</v>
      </c>
      <c r="E29" s="48">
        <v>2</v>
      </c>
      <c r="F29" s="95">
        <f>100*0.919979188345473</f>
        <v>91.997918834547292</v>
      </c>
      <c r="G29" s="53">
        <f>100*0.929217548620534</f>
        <v>92.92175486205339</v>
      </c>
      <c r="H29" s="87">
        <f>AVERAGE(F29,G29)</f>
        <v>92.459836848300341</v>
      </c>
      <c r="I29" s="94">
        <f t="shared" ref="I29" si="0">STDEV(F29,G29)</f>
        <v>0.65325071975400406</v>
      </c>
      <c r="J29" s="53">
        <f>100*0.338281997321599</f>
        <v>33.828199732159902</v>
      </c>
      <c r="K29" s="53">
        <f>100*0.366449656648533</f>
        <v>36.644965664853302</v>
      </c>
      <c r="L29" s="89">
        <f>AVERAGE(J29,K29)</f>
        <v>35.236582698506602</v>
      </c>
      <c r="M29" s="91">
        <f>STDEV(J29,K29)</f>
        <v>1.9917542920227536</v>
      </c>
      <c r="T29" s="68"/>
      <c r="V29" s="65">
        <v>136</v>
      </c>
      <c r="W29" s="48" t="s">
        <v>53</v>
      </c>
      <c r="X29" s="48">
        <v>1</v>
      </c>
      <c r="Y29" s="93">
        <f>100*0.982002617801047</f>
        <v>98.200261780104697</v>
      </c>
      <c r="Z29" s="53">
        <f>100*0.98139030292915</f>
        <v>98.139030292914995</v>
      </c>
      <c r="AA29" s="87">
        <f>AVERAGE(Y29,Z29)</f>
        <v>98.169646036509846</v>
      </c>
      <c r="AB29" s="94">
        <f>STDEV(Y29,Z29)</f>
        <v>4.3297199813974993E-2</v>
      </c>
      <c r="AC29" s="53">
        <f>100*0.329228490716108</f>
        <v>32.922849071610798</v>
      </c>
      <c r="AD29" s="53">
        <f>100*0.336856578155882</f>
        <v>33.6856578155882</v>
      </c>
      <c r="AE29" s="89">
        <f>AVERAGE(AC29,AD29)</f>
        <v>33.304253443599499</v>
      </c>
      <c r="AF29" s="91">
        <f>STDEV(AC29,AD29)</f>
        <v>0.53938723561481394</v>
      </c>
      <c r="AG29" s="55"/>
      <c r="AH29" s="55"/>
      <c r="AI29" s="55"/>
      <c r="AJ29" s="55"/>
      <c r="AK29" s="55"/>
      <c r="AL29" s="55"/>
      <c r="AM29" s="68"/>
    </row>
    <row r="30" spans="2:39">
      <c r="B30" s="47"/>
      <c r="C30" s="71">
        <v>146</v>
      </c>
      <c r="D30" s="48" t="s">
        <v>53</v>
      </c>
      <c r="E30" s="48">
        <v>0</v>
      </c>
      <c r="F30" s="95">
        <f>100*0.803108808290155</f>
        <v>80.310880829015503</v>
      </c>
      <c r="G30" s="53">
        <f>100*0.829029535864979</f>
        <v>82.902953586497901</v>
      </c>
      <c r="H30" s="87">
        <f>AVERAGE(F30,G30)</f>
        <v>81.606917207756709</v>
      </c>
      <c r="I30" s="94">
        <f>STDEV(F30,G30)</f>
        <v>1.8328722241447173</v>
      </c>
      <c r="J30" s="53">
        <f>100*0.189783814807729</f>
        <v>18.978381480772899</v>
      </c>
      <c r="K30" s="53">
        <f>100*0.219031481316329</f>
        <v>21.9031481316329</v>
      </c>
      <c r="L30" s="89">
        <f>AVERAGE(J30,K30)</f>
        <v>20.4407648062029</v>
      </c>
      <c r="M30" s="91">
        <f>STDEV(J30,K30)</f>
        <v>2.0681223322113738</v>
      </c>
      <c r="T30" s="68"/>
      <c r="V30" s="69">
        <v>142</v>
      </c>
      <c r="W30" s="48" t="s">
        <v>53</v>
      </c>
      <c r="X30" s="48">
        <v>2</v>
      </c>
      <c r="Y30" s="95">
        <f>100*0.921726866724124</f>
        <v>92.172686672412397</v>
      </c>
      <c r="Z30" s="53">
        <f>100*0.928635292205153</f>
        <v>92.863529220515289</v>
      </c>
      <c r="AA30" s="87">
        <f>AVERAGE(Y30,Z30)</f>
        <v>92.518107946463843</v>
      </c>
      <c r="AB30" s="94">
        <f t="shared" ref="AB30" si="1">STDEV(Y30,Z30)</f>
        <v>0.48849945049574917</v>
      </c>
      <c r="AC30" s="53">
        <f>100*0.322646115027015</f>
        <v>32.264611502701499</v>
      </c>
      <c r="AD30" s="53">
        <f>100*0.327260748761135</f>
        <v>32.726074876113501</v>
      </c>
      <c r="AE30" s="89">
        <f>AVERAGE(AC30,AD30)</f>
        <v>32.4953431894075</v>
      </c>
      <c r="AF30" s="91">
        <f>STDEV(AC30,AD30)</f>
        <v>0.32630388060884652</v>
      </c>
      <c r="AG30" s="55"/>
      <c r="AH30" s="55"/>
      <c r="AI30" s="55"/>
      <c r="AJ30" s="55"/>
      <c r="AK30" s="55"/>
      <c r="AL30" s="55"/>
      <c r="AM30" s="68"/>
    </row>
    <row r="31" spans="2:39">
      <c r="B31" s="47"/>
      <c r="E31" s="48"/>
      <c r="F31" s="95"/>
      <c r="G31" s="53"/>
      <c r="H31" s="53"/>
      <c r="I31" s="96"/>
      <c r="J31" s="53"/>
      <c r="K31" s="53"/>
      <c r="L31" s="53"/>
      <c r="M31" s="96"/>
      <c r="T31" s="68"/>
      <c r="V31" s="71">
        <v>146</v>
      </c>
      <c r="W31" s="48" t="s">
        <v>53</v>
      </c>
      <c r="X31" s="48">
        <v>0</v>
      </c>
      <c r="Y31" s="95">
        <f>100*0.841014846000443</f>
        <v>84.101484600044301</v>
      </c>
      <c r="Z31" s="53">
        <f>100*0.854880089235917</f>
        <v>85.488008923591693</v>
      </c>
      <c r="AA31" s="87">
        <f>AVERAGE(Y31,Z31)</f>
        <v>84.794746761818004</v>
      </c>
      <c r="AB31" s="94">
        <f>STDEV(Y31,Z31)</f>
        <v>0.98042075146045093</v>
      </c>
      <c r="AC31" s="53">
        <f>100*0.20819505773292</f>
        <v>20.819505773292001</v>
      </c>
      <c r="AD31" s="53">
        <f>100*0.219529661138323</f>
        <v>21.9529661138323</v>
      </c>
      <c r="AE31" s="89">
        <f>AVERAGE(AC31,AD31)</f>
        <v>21.386235943562149</v>
      </c>
      <c r="AF31" s="91">
        <f>STDEV(AC31,AD31)</f>
        <v>0.80147749300205917</v>
      </c>
      <c r="AG31" s="55"/>
      <c r="AH31" s="55"/>
      <c r="AI31" s="55"/>
      <c r="AJ31" s="55"/>
      <c r="AK31" s="55"/>
      <c r="AL31" s="55"/>
      <c r="AM31" s="68"/>
    </row>
    <row r="32" spans="2:39">
      <c r="B32" s="47"/>
      <c r="E32" s="48"/>
      <c r="F32" s="95"/>
      <c r="G32" s="53"/>
      <c r="H32" s="53"/>
      <c r="I32" s="96"/>
      <c r="J32" s="53"/>
      <c r="K32" s="53"/>
      <c r="L32" s="53"/>
      <c r="M32" s="96"/>
      <c r="T32" s="68"/>
      <c r="X32" s="48"/>
      <c r="Y32" s="95"/>
      <c r="Z32" s="53"/>
      <c r="AA32" s="53"/>
      <c r="AB32" s="96"/>
      <c r="AC32" s="53"/>
      <c r="AD32" s="53"/>
      <c r="AE32" s="53"/>
      <c r="AF32" s="96"/>
      <c r="AG32" s="55"/>
      <c r="AH32" s="55"/>
      <c r="AI32" s="55"/>
      <c r="AJ32" s="55"/>
      <c r="AK32" s="55"/>
      <c r="AL32" s="55"/>
      <c r="AM32" s="68"/>
    </row>
    <row r="33" spans="2:39">
      <c r="B33" s="47"/>
      <c r="C33" s="69">
        <v>142</v>
      </c>
      <c r="D33" s="48" t="s">
        <v>53</v>
      </c>
      <c r="E33" s="48">
        <v>2</v>
      </c>
      <c r="F33" s="95">
        <f>100*0.919979188345473</f>
        <v>91.997918834547292</v>
      </c>
      <c r="G33" s="53">
        <f>100*0.929217548620534</f>
        <v>92.92175486205339</v>
      </c>
      <c r="H33" s="87">
        <f>AVERAGE(F33,G33)</f>
        <v>92.459836848300341</v>
      </c>
      <c r="I33" s="94">
        <f>STDEV(F33,G33)</f>
        <v>0.65325071975400406</v>
      </c>
      <c r="J33" s="53">
        <f>100*0.338281997321599</f>
        <v>33.828199732159902</v>
      </c>
      <c r="K33" s="53">
        <f>100*0.366449656648533</f>
        <v>36.644965664853302</v>
      </c>
      <c r="L33" s="89">
        <f>AVERAGE(J33,K33)</f>
        <v>35.236582698506602</v>
      </c>
      <c r="M33" s="91">
        <f>STDEV(J33,K33)</f>
        <v>1.9917542920227536</v>
      </c>
      <c r="N33" s="55"/>
      <c r="O33" s="50"/>
      <c r="P33" s="55"/>
      <c r="Q33" s="55"/>
      <c r="R33" s="55"/>
      <c r="S33" s="55"/>
      <c r="T33" s="68"/>
      <c r="X33" s="48"/>
      <c r="Y33" s="95"/>
      <c r="Z33" s="53"/>
      <c r="AA33" s="53"/>
      <c r="AB33" s="96"/>
      <c r="AC33" s="53"/>
      <c r="AD33" s="53"/>
      <c r="AE33" s="53"/>
      <c r="AF33" s="96"/>
      <c r="AG33" s="55"/>
      <c r="AH33" s="55"/>
      <c r="AI33" s="55"/>
      <c r="AJ33" s="55"/>
      <c r="AK33" s="55"/>
      <c r="AL33" s="55"/>
      <c r="AM33" s="68"/>
    </row>
    <row r="34" spans="2:39">
      <c r="B34" s="47"/>
      <c r="C34" s="69">
        <v>142</v>
      </c>
      <c r="D34" s="48" t="s">
        <v>55</v>
      </c>
      <c r="E34" s="48">
        <v>2</v>
      </c>
      <c r="F34" s="95">
        <f>100*0.947456535737283</f>
        <v>94.745653573728291</v>
      </c>
      <c r="G34" s="53">
        <f>100*0.948548887010426</f>
        <v>94.854888701042597</v>
      </c>
      <c r="H34" s="87">
        <f>AVERAGE(F34,G34)</f>
        <v>94.800271137385437</v>
      </c>
      <c r="I34" s="94">
        <f t="shared" ref="I34" si="2">STDEV(F34,G34)</f>
        <v>7.7240899267722068E-2</v>
      </c>
      <c r="J34" s="53">
        <f>100*0.382102420276306</f>
        <v>38.210242027630599</v>
      </c>
      <c r="K34" s="53">
        <f>100*0.388478581979321</f>
        <v>38.847858197932098</v>
      </c>
      <c r="L34" s="89">
        <f>AVERAGE(J34,K34)</f>
        <v>38.529050112781349</v>
      </c>
      <c r="M34" s="91">
        <f t="shared" ref="M34:M35" si="3">STDEV(J34,K34)</f>
        <v>0.45086271781438619</v>
      </c>
      <c r="N34" s="55"/>
      <c r="O34" s="55"/>
      <c r="P34" s="55"/>
      <c r="Q34" s="55"/>
      <c r="R34" s="55"/>
      <c r="S34" s="55"/>
      <c r="T34" s="68"/>
      <c r="V34" s="69">
        <v>142</v>
      </c>
      <c r="W34" s="48" t="s">
        <v>53</v>
      </c>
      <c r="X34" s="48">
        <v>2</v>
      </c>
      <c r="Y34" s="95">
        <f>100*0.921726866724124</f>
        <v>92.172686672412397</v>
      </c>
      <c r="Z34" s="53">
        <f>100*0.928635292205153</f>
        <v>92.863529220515289</v>
      </c>
      <c r="AA34" s="87">
        <f>AVERAGE(Y34,Z34)</f>
        <v>92.518107946463843</v>
      </c>
      <c r="AB34" s="94">
        <f>STDEV(Y34,Z34)</f>
        <v>0.48849945049574917</v>
      </c>
      <c r="AC34" s="53">
        <f>100*0.322646115027015</f>
        <v>32.264611502701499</v>
      </c>
      <c r="AD34" s="53">
        <f>100*0.327260748761135</f>
        <v>32.726074876113501</v>
      </c>
      <c r="AE34" s="89">
        <f>AVERAGE(AC34,AD34)</f>
        <v>32.4953431894075</v>
      </c>
      <c r="AF34" s="91">
        <f>STDEV(AC34,AD34)</f>
        <v>0.32630388060884652</v>
      </c>
      <c r="AG34" s="55"/>
      <c r="AH34" s="55"/>
      <c r="AI34" s="55"/>
      <c r="AJ34" s="55"/>
      <c r="AK34" s="55"/>
      <c r="AL34" s="55"/>
      <c r="AM34" s="68"/>
    </row>
    <row r="35" spans="2:39">
      <c r="B35" s="47"/>
      <c r="C35" s="69">
        <v>142</v>
      </c>
      <c r="D35" s="48" t="s">
        <v>56</v>
      </c>
      <c r="E35" s="48">
        <v>2</v>
      </c>
      <c r="F35" s="95">
        <f>100*0.944922632966814</f>
        <v>94.492263296681401</v>
      </c>
      <c r="G35" s="53">
        <f>100*0.945061543080156</f>
        <v>94.506154308015596</v>
      </c>
      <c r="H35" s="87">
        <f>AVERAGE(F35,G35)</f>
        <v>94.499208802348505</v>
      </c>
      <c r="I35" s="94">
        <f>STDEV(F35,G35)</f>
        <v>9.8224283119484855E-3</v>
      </c>
      <c r="J35" s="53">
        <f>100*0.408158002192087</f>
        <v>40.815800219208697</v>
      </c>
      <c r="K35" s="53">
        <f>100*0.406193548387097</f>
        <v>40.619354838709697</v>
      </c>
      <c r="L35" s="89">
        <f>AVERAGE(J35,K35)</f>
        <v>40.717577528959197</v>
      </c>
      <c r="M35" s="91">
        <f t="shared" si="3"/>
        <v>0.13890786068361452</v>
      </c>
      <c r="N35" s="55"/>
      <c r="O35" s="55"/>
      <c r="P35" s="55"/>
      <c r="Q35" s="55"/>
      <c r="R35" s="55"/>
      <c r="S35" s="55"/>
      <c r="T35" s="68"/>
      <c r="V35" s="69">
        <v>142</v>
      </c>
      <c r="W35" s="48" t="s">
        <v>55</v>
      </c>
      <c r="X35" s="48">
        <v>2</v>
      </c>
      <c r="Y35" s="95">
        <f>100*0.938364401683704</f>
        <v>93.836440168370402</v>
      </c>
      <c r="Z35" s="53">
        <f>100*0.931458836357972</f>
        <v>93.145883635797205</v>
      </c>
      <c r="AA35" s="87">
        <f>AVERAGE(Y35,Z35)</f>
        <v>93.491161902083803</v>
      </c>
      <c r="AB35" s="94">
        <f t="shared" ref="AB35" si="4">STDEV(Y35,Z35)</f>
        <v>0.48829720697517665</v>
      </c>
      <c r="AC35" s="53">
        <f>100*0.35997693194925</f>
        <v>35.997693194924999</v>
      </c>
      <c r="AD35" s="53">
        <f>100*0.346768347493258</f>
        <v>34.676834749325799</v>
      </c>
      <c r="AE35" s="89">
        <f>AVERAGE(AC35,AD35)</f>
        <v>35.337263972125399</v>
      </c>
      <c r="AF35" s="91">
        <f t="shared" ref="AF35:AF36" si="5">STDEV(AC35,AD35)</f>
        <v>0.93398796387071648</v>
      </c>
      <c r="AG35" s="55"/>
      <c r="AH35" s="55"/>
      <c r="AI35" s="55"/>
      <c r="AJ35" s="55"/>
      <c r="AK35" s="55"/>
      <c r="AL35" s="55"/>
      <c r="AM35" s="68"/>
    </row>
    <row r="36" spans="2:39">
      <c r="B36" s="47"/>
      <c r="E36" s="48"/>
      <c r="F36" s="95"/>
      <c r="G36" s="53"/>
      <c r="H36" s="53"/>
      <c r="I36" s="96"/>
      <c r="J36" s="53"/>
      <c r="K36" s="53"/>
      <c r="L36" s="53"/>
      <c r="M36" s="96"/>
      <c r="N36" s="55"/>
      <c r="O36" s="55"/>
      <c r="P36" s="55"/>
      <c r="Q36" s="55"/>
      <c r="R36" s="55"/>
      <c r="S36" s="55"/>
      <c r="T36" s="68"/>
      <c r="V36" s="69">
        <v>142</v>
      </c>
      <c r="W36" s="48" t="s">
        <v>56</v>
      </c>
      <c r="X36" s="48">
        <v>2</v>
      </c>
      <c r="Y36" s="95">
        <f>100*0.9372589890568</f>
        <v>93.725898905680012</v>
      </c>
      <c r="Z36" s="53">
        <f>100*0.942841736317067</f>
        <v>94.284173631706707</v>
      </c>
      <c r="AA36" s="87">
        <f>AVERAGE(Y36,Z36)</f>
        <v>94.00503626869336</v>
      </c>
      <c r="AB36" s="94">
        <f>STDEV(Y36,Z36)</f>
        <v>0.39475984453853841</v>
      </c>
      <c r="AC36" s="53">
        <f>100*0.41330024357737</f>
        <v>41.330024357737003</v>
      </c>
      <c r="AD36" s="53">
        <f>100*0.423181180115204</f>
        <v>42.318118011520397</v>
      </c>
      <c r="AE36" s="89">
        <f>AVERAGE(AC36,AD36)</f>
        <v>41.8240711846287</v>
      </c>
      <c r="AF36" s="91">
        <f t="shared" si="5"/>
        <v>0.69868772303763105</v>
      </c>
      <c r="AG36" s="55"/>
      <c r="AH36" s="55"/>
      <c r="AI36" s="55"/>
      <c r="AJ36" s="55"/>
      <c r="AK36" s="55"/>
      <c r="AL36" s="55"/>
      <c r="AM36" s="68"/>
    </row>
    <row r="37" spans="2:39">
      <c r="B37" s="47"/>
      <c r="E37" s="48"/>
      <c r="F37" s="95"/>
      <c r="G37" s="53"/>
      <c r="H37" s="53"/>
      <c r="I37" s="96"/>
      <c r="J37" s="53"/>
      <c r="K37" s="53"/>
      <c r="L37" s="53"/>
      <c r="M37" s="96"/>
      <c r="N37" s="55"/>
      <c r="O37" s="55"/>
      <c r="P37" s="55"/>
      <c r="Q37" s="55"/>
      <c r="R37" s="55"/>
      <c r="S37" s="55"/>
      <c r="T37" s="68"/>
      <c r="X37" s="48"/>
      <c r="Y37" s="95"/>
      <c r="Z37" s="53"/>
      <c r="AA37" s="53"/>
      <c r="AB37" s="96"/>
      <c r="AC37" s="53"/>
      <c r="AD37" s="53"/>
      <c r="AE37" s="53"/>
      <c r="AF37" s="96"/>
      <c r="AG37" s="55"/>
      <c r="AH37" s="55"/>
      <c r="AI37" s="55"/>
      <c r="AJ37" s="55"/>
      <c r="AK37" s="55"/>
      <c r="AL37" s="55"/>
      <c r="AM37" s="68"/>
    </row>
    <row r="38" spans="2:39">
      <c r="B38" s="47"/>
      <c r="C38" s="69">
        <v>142</v>
      </c>
      <c r="D38" s="48" t="s">
        <v>53</v>
      </c>
      <c r="E38" s="48">
        <v>1</v>
      </c>
      <c r="F38" s="95">
        <f>100*0.0746097814776275</f>
        <v>7.4609781477627495</v>
      </c>
      <c r="G38" s="53">
        <f>100*0.0665988240615106</f>
        <v>6.65988240615106</v>
      </c>
      <c r="H38" s="87">
        <f>AVERAGE(F38,G38)</f>
        <v>7.0604302769569047</v>
      </c>
      <c r="I38" s="94">
        <f>STDEV(F38,G38)</f>
        <v>0.56646023127329193</v>
      </c>
      <c r="J38" s="53">
        <f>100*0.0274344748421657</f>
        <v>2.7434474842165697</v>
      </c>
      <c r="K38" s="53">
        <f>100*0.0262641576741282</f>
        <v>2.6264157674128201</v>
      </c>
      <c r="L38" s="89">
        <f>AVERAGE(J38,K38)</f>
        <v>2.6849316258146949</v>
      </c>
      <c r="M38" s="91">
        <f>STDEV(J38,K38)</f>
        <v>8.2753920565834943E-2</v>
      </c>
      <c r="N38" s="55"/>
      <c r="O38" s="55"/>
      <c r="P38" s="55"/>
      <c r="Q38" s="55"/>
      <c r="R38" s="55"/>
      <c r="S38" s="55"/>
      <c r="T38" s="68"/>
      <c r="X38" s="48"/>
      <c r="Y38" s="95"/>
      <c r="Z38" s="53"/>
      <c r="AA38" s="53"/>
      <c r="AB38" s="96"/>
      <c r="AC38" s="53"/>
      <c r="AD38" s="53"/>
      <c r="AE38" s="53"/>
      <c r="AF38" s="96"/>
      <c r="AG38" s="55"/>
      <c r="AH38" s="55"/>
      <c r="AI38" s="55"/>
      <c r="AJ38" s="55"/>
      <c r="AK38" s="55"/>
      <c r="AL38" s="55"/>
      <c r="AM38" s="68"/>
    </row>
    <row r="39" spans="2:39">
      <c r="B39" s="47"/>
      <c r="C39" s="69">
        <v>142</v>
      </c>
      <c r="D39" s="48" t="s">
        <v>55</v>
      </c>
      <c r="E39" s="48">
        <v>1</v>
      </c>
      <c r="F39" s="95">
        <f>100*0.0500965872504829</f>
        <v>5.0096587250482907</v>
      </c>
      <c r="G39" s="53">
        <f>100*0.0493660185967878</f>
        <v>4.9366018596787793</v>
      </c>
      <c r="H39" s="87">
        <f>AVERAGE(F39,G39)</f>
        <v>4.9731302923635354</v>
      </c>
      <c r="I39" s="94">
        <f t="shared" ref="I39" si="6">STDEV(F39,G39)</f>
        <v>5.1659004915014156E-2</v>
      </c>
      <c r="J39" s="53">
        <f>100*0.0202035940583775</f>
        <v>2.0203594058377501</v>
      </c>
      <c r="K39" s="53">
        <f>100*0.0202178729689808</f>
        <v>2.0217872968980801</v>
      </c>
      <c r="L39" s="89">
        <f>AVERAGE(J39,K39)</f>
        <v>2.0210733513679151</v>
      </c>
      <c r="M39" s="91">
        <f>STDEV(J39,K39)</f>
        <v>1.009671451555016E-3</v>
      </c>
      <c r="N39" s="55"/>
      <c r="O39" s="55"/>
      <c r="P39" s="55"/>
      <c r="Q39" s="55"/>
      <c r="R39" s="55"/>
      <c r="S39" s="55"/>
      <c r="T39" s="68"/>
      <c r="V39" s="69">
        <v>142</v>
      </c>
      <c r="W39" s="48" t="s">
        <v>53</v>
      </c>
      <c r="X39" s="48">
        <v>1</v>
      </c>
      <c r="Y39" s="95">
        <f>100*0.0725534748883491</f>
        <v>7.2553474888349099</v>
      </c>
      <c r="Z39" s="53">
        <f>100*0.067219377387629</f>
        <v>6.7219377387628994</v>
      </c>
      <c r="AA39" s="87">
        <f>AVERAGE(Y39,Z39)</f>
        <v>6.9886426137989046</v>
      </c>
      <c r="AB39" s="94">
        <f>STDEV(Y39,Z39)</f>
        <v>0.37717765142694015</v>
      </c>
      <c r="AC39" s="53">
        <f>100*0.0253969995337484</f>
        <v>2.5396999533748401</v>
      </c>
      <c r="AD39" s="53">
        <f>100*0.0236888086849417</f>
        <v>2.3688808684941698</v>
      </c>
      <c r="AE39" s="89">
        <f>AVERAGE(AC39,AD39)</f>
        <v>2.454290410934505</v>
      </c>
      <c r="AF39" s="91">
        <f>STDEV(AC39,AD39)</f>
        <v>0.12078733327520244</v>
      </c>
      <c r="AG39" s="55"/>
      <c r="AH39" s="55"/>
      <c r="AI39" s="55"/>
      <c r="AJ39" s="55"/>
      <c r="AL39" s="55"/>
      <c r="AM39" s="68"/>
    </row>
    <row r="40" spans="2:39">
      <c r="B40" s="47"/>
      <c r="C40" s="69">
        <v>142</v>
      </c>
      <c r="D40" s="48" t="s">
        <v>56</v>
      </c>
      <c r="E40" s="48">
        <v>1</v>
      </c>
      <c r="F40" s="95">
        <f>100*0.0530872182695657</f>
        <v>5.3087218269565701</v>
      </c>
      <c r="G40" s="53">
        <f>100*0.0530771540078055</f>
        <v>5.30771540078055</v>
      </c>
      <c r="H40" s="87">
        <f>AVERAGE(F40,G40)</f>
        <v>5.3082186138685596</v>
      </c>
      <c r="I40" s="94">
        <f>STDEV(F40,G40)</f>
        <v>7.1165077382745305E-4</v>
      </c>
      <c r="J40" s="53">
        <f>100*0.0229309492596334</f>
        <v>2.2930949259633402</v>
      </c>
      <c r="K40" s="53">
        <f>100*0.0228129032258065</f>
        <v>2.28129032258065</v>
      </c>
      <c r="L40" s="89">
        <f>AVERAGE(J40,K40)</f>
        <v>2.2871926242719951</v>
      </c>
      <c r="M40" s="91">
        <f t="shared" ref="M40" si="7">STDEV(J40,K40)</f>
        <v>8.3471151011178853E-3</v>
      </c>
      <c r="N40" s="55"/>
      <c r="O40" s="55"/>
      <c r="P40" s="55"/>
      <c r="Q40" s="55"/>
      <c r="R40" s="55"/>
      <c r="S40" s="55"/>
      <c r="T40" s="68"/>
      <c r="V40" s="69">
        <v>142</v>
      </c>
      <c r="W40" s="48" t="s">
        <v>55</v>
      </c>
      <c r="X40" s="48">
        <v>1</v>
      </c>
      <c r="Y40" s="95">
        <f>100*0.0574263379434756</f>
        <v>5.7426337943475598</v>
      </c>
      <c r="Z40" s="53">
        <f>100*0.0645688916582288</f>
        <v>6.4568891658228793</v>
      </c>
      <c r="AA40" s="87">
        <f>AVERAGE(Y40,Z40)</f>
        <v>6.0997614800852196</v>
      </c>
      <c r="AB40" s="94">
        <f t="shared" ref="AB40" si="8">STDEV(Y40,Z40)</f>
        <v>0.50505481666911489</v>
      </c>
      <c r="AC40" s="53">
        <f>100*0.0220299884659746</f>
        <v>2.2029988465974601</v>
      </c>
      <c r="AD40" s="53">
        <f>100*0.0240380433206716</f>
        <v>2.40380433206716</v>
      </c>
      <c r="AE40" s="89">
        <f>AVERAGE(AC40,AD40)</f>
        <v>2.3034015893323101</v>
      </c>
      <c r="AF40" s="91">
        <f t="shared" ref="AF40:AF41" si="9">STDEV(AC40,AD40)</f>
        <v>0.14199092047508152</v>
      </c>
      <c r="AG40" s="55"/>
      <c r="AH40" s="55"/>
      <c r="AI40" s="55"/>
      <c r="AJ40" s="55"/>
      <c r="AK40" s="55"/>
      <c r="AL40" s="55"/>
      <c r="AM40" s="68"/>
    </row>
    <row r="41" spans="2:39">
      <c r="T41" s="68"/>
      <c r="V41" s="69">
        <v>142</v>
      </c>
      <c r="W41" s="48" t="s">
        <v>56</v>
      </c>
      <c r="X41" s="48">
        <v>1</v>
      </c>
      <c r="Y41" s="95">
        <f>100*0.0597186034392913</f>
        <v>5.97186034392913</v>
      </c>
      <c r="Z41" s="53">
        <f>100*0.0535993529253168</f>
        <v>5.3599352925316799</v>
      </c>
      <c r="AA41" s="87">
        <f>AVERAGE(Y41,Z41)</f>
        <v>5.6658978182304054</v>
      </c>
      <c r="AB41" s="94">
        <f>STDEV(Y41,Z41)</f>
        <v>0.43269635342106366</v>
      </c>
      <c r="AC41" s="53">
        <f>100*0.0263339307872604</f>
        <v>2.6333930787260402</v>
      </c>
      <c r="AD41" s="53">
        <f>100*0.0240573115833293</f>
        <v>2.4057311583329302</v>
      </c>
      <c r="AE41" s="89">
        <f>AVERAGE(AC41,AD41)</f>
        <v>2.5195621185294854</v>
      </c>
      <c r="AF41" s="91">
        <f t="shared" si="9"/>
        <v>0.16098128772792009</v>
      </c>
      <c r="AG41" s="55"/>
      <c r="AH41" s="55"/>
      <c r="AI41" s="55"/>
      <c r="AJ41" s="55"/>
      <c r="AK41" s="55"/>
      <c r="AL41" s="55"/>
      <c r="AM41" s="68"/>
    </row>
    <row r="42" spans="2:39">
      <c r="T42" s="68"/>
      <c r="X42" s="112"/>
      <c r="AM42" s="68"/>
    </row>
    <row r="43" spans="2:39">
      <c r="T43" s="68"/>
      <c r="AM43" s="68"/>
    </row>
    <row r="44" spans="2:39" ht="17">
      <c r="C44" s="187" t="s">
        <v>78</v>
      </c>
      <c r="D44" s="187"/>
      <c r="E44" s="187"/>
      <c r="F44" s="187"/>
      <c r="G44" s="187"/>
      <c r="H44" s="187"/>
      <c r="J44" s="115" t="s">
        <v>79</v>
      </c>
      <c r="K44" s="99"/>
      <c r="L44" s="99"/>
      <c r="M44" s="99"/>
      <c r="T44" s="68"/>
      <c r="AM44" s="68"/>
    </row>
    <row r="45" spans="2:39">
      <c r="C45" s="168" t="s">
        <v>88</v>
      </c>
      <c r="D45" s="169"/>
      <c r="E45" s="169"/>
      <c r="F45" s="169"/>
      <c r="G45" s="169"/>
      <c r="H45" s="170"/>
      <c r="J45" s="168" t="s">
        <v>88</v>
      </c>
      <c r="K45" s="169"/>
      <c r="L45" s="169"/>
      <c r="M45" s="170"/>
      <c r="T45" s="68"/>
      <c r="V45" s="144" t="s">
        <v>75</v>
      </c>
      <c r="W45" s="144"/>
      <c r="X45" s="144"/>
      <c r="Y45" s="144"/>
      <c r="Z45" s="144"/>
      <c r="AA45" s="144"/>
      <c r="AC45" s="99" t="s">
        <v>74</v>
      </c>
      <c r="AD45" s="99"/>
      <c r="AE45" s="99"/>
      <c r="AF45" s="99"/>
      <c r="AM45" s="68"/>
    </row>
    <row r="46" spans="2:39">
      <c r="C46" s="54" t="s">
        <v>66</v>
      </c>
      <c r="D46" s="54" t="s">
        <v>41</v>
      </c>
      <c r="E46" s="54" t="s">
        <v>62</v>
      </c>
      <c r="F46" s="54" t="s">
        <v>63</v>
      </c>
      <c r="G46" s="102" t="s">
        <v>76</v>
      </c>
      <c r="H46" s="72" t="s">
        <v>50</v>
      </c>
      <c r="J46" s="57" t="s">
        <v>14</v>
      </c>
      <c r="K46" s="56" t="s">
        <v>41</v>
      </c>
      <c r="L46" s="102" t="s">
        <v>77</v>
      </c>
      <c r="M46" s="81" t="s">
        <v>50</v>
      </c>
      <c r="T46" s="68"/>
      <c r="V46" s="168" t="s">
        <v>89</v>
      </c>
      <c r="W46" s="169"/>
      <c r="X46" s="169"/>
      <c r="Y46" s="169"/>
      <c r="Z46" s="169"/>
      <c r="AA46" s="170"/>
      <c r="AC46" s="143" t="s">
        <v>89</v>
      </c>
      <c r="AD46" s="143"/>
      <c r="AE46" s="143"/>
      <c r="AF46" s="143"/>
      <c r="AM46" s="68"/>
    </row>
    <row r="47" spans="2:39">
      <c r="C47" s="69">
        <v>142</v>
      </c>
      <c r="D47" s="48" t="s">
        <v>64</v>
      </c>
      <c r="E47" s="53">
        <v>37.839894970476948</v>
      </c>
      <c r="F47" s="53">
        <v>1.9470147288467885</v>
      </c>
      <c r="G47" s="89">
        <v>35.236582698506602</v>
      </c>
      <c r="H47" s="91">
        <v>1.9917542920227536</v>
      </c>
      <c r="J47" s="69">
        <v>142</v>
      </c>
      <c r="K47" s="48" t="s">
        <v>64</v>
      </c>
      <c r="L47" s="89">
        <v>2.6849316258146949</v>
      </c>
      <c r="M47" s="101">
        <v>8.2753920565834943E-2</v>
      </c>
      <c r="T47" s="68"/>
      <c r="V47" s="54" t="s">
        <v>66</v>
      </c>
      <c r="W47" s="56" t="s">
        <v>41</v>
      </c>
      <c r="X47" s="58" t="s">
        <v>67</v>
      </c>
      <c r="Y47" s="58" t="s">
        <v>63</v>
      </c>
      <c r="Z47" s="102" t="s">
        <v>72</v>
      </c>
      <c r="AA47" s="59" t="s">
        <v>50</v>
      </c>
      <c r="AB47" s="113"/>
      <c r="AC47" s="54" t="s">
        <v>66</v>
      </c>
      <c r="AD47" s="54" t="s">
        <v>41</v>
      </c>
      <c r="AE47" s="102" t="s">
        <v>73</v>
      </c>
      <c r="AF47" s="72" t="s">
        <v>50</v>
      </c>
      <c r="AJ47" s="80"/>
      <c r="AM47" s="68"/>
    </row>
    <row r="48" spans="2:39">
      <c r="C48" s="69">
        <v>142</v>
      </c>
      <c r="D48" s="48" t="s">
        <v>55</v>
      </c>
      <c r="E48" s="53">
        <v>40.404072046979699</v>
      </c>
      <c r="F48" s="53">
        <v>0.53133476723557016</v>
      </c>
      <c r="G48" s="89">
        <v>38.529050112781349</v>
      </c>
      <c r="H48" s="91">
        <v>0.45086271781438619</v>
      </c>
      <c r="J48" s="69">
        <v>142</v>
      </c>
      <c r="K48" s="48" t="s">
        <v>55</v>
      </c>
      <c r="L48" s="89">
        <v>2.0210733513679151</v>
      </c>
      <c r="M48" s="101">
        <v>1.009671451555016E-3</v>
      </c>
      <c r="T48" s="68"/>
      <c r="V48" s="69">
        <v>142</v>
      </c>
      <c r="W48" s="48" t="s">
        <v>64</v>
      </c>
      <c r="X48" s="53">
        <v>35.051000000000002</v>
      </c>
      <c r="Y48" s="53">
        <v>5.7982756057297413E-2</v>
      </c>
      <c r="Z48" s="89">
        <v>32.4953431894075</v>
      </c>
      <c r="AA48" s="91">
        <v>0.32630388060884652</v>
      </c>
      <c r="AC48" s="69">
        <v>142</v>
      </c>
      <c r="AD48" s="48" t="s">
        <v>64</v>
      </c>
      <c r="AE48" s="89">
        <v>2.454290410934505</v>
      </c>
      <c r="AF48" s="89">
        <v>0.12078733327520244</v>
      </c>
      <c r="AM48" s="68"/>
    </row>
    <row r="49" spans="3:39">
      <c r="C49" s="69">
        <v>142</v>
      </c>
      <c r="D49" s="48" t="s">
        <v>56</v>
      </c>
      <c r="E49" s="53">
        <v>43.010073617727699</v>
      </c>
      <c r="F49" s="53">
        <v>0.23618450828452639</v>
      </c>
      <c r="G49" s="89">
        <v>40.717577528959197</v>
      </c>
      <c r="H49" s="91">
        <v>0.13890786068361452</v>
      </c>
      <c r="J49" s="69">
        <v>142</v>
      </c>
      <c r="K49" s="48" t="s">
        <v>56</v>
      </c>
      <c r="L49" s="89">
        <v>2.2871926242719951</v>
      </c>
      <c r="M49" s="101">
        <v>8.3471151011178853E-3</v>
      </c>
      <c r="T49" s="68"/>
      <c r="V49" s="69">
        <v>142</v>
      </c>
      <c r="W49" s="48" t="s">
        <v>55</v>
      </c>
      <c r="X49" s="53">
        <v>37.620999999999995</v>
      </c>
      <c r="Y49" s="53">
        <v>2.2464782438296611</v>
      </c>
      <c r="Z49" s="89">
        <v>35.337263972125399</v>
      </c>
      <c r="AA49" s="91">
        <v>0.93398796387071648</v>
      </c>
      <c r="AC49" s="69">
        <v>142</v>
      </c>
      <c r="AD49" s="48" t="s">
        <v>55</v>
      </c>
      <c r="AE49" s="89">
        <v>2.3034015893323101</v>
      </c>
      <c r="AF49" s="89">
        <v>0.14199092047508152</v>
      </c>
      <c r="AM49" s="68"/>
    </row>
    <row r="50" spans="3:39">
      <c r="T50" s="68"/>
      <c r="V50" s="69">
        <v>142</v>
      </c>
      <c r="W50" s="48" t="s">
        <v>56</v>
      </c>
      <c r="X50" s="53">
        <v>44.338999999999999</v>
      </c>
      <c r="Y50" s="53">
        <v>0.5190163773909271</v>
      </c>
      <c r="Z50" s="89">
        <v>41.8240711846287</v>
      </c>
      <c r="AA50" s="91">
        <v>0.69868772303763105</v>
      </c>
      <c r="AC50" s="69">
        <v>142</v>
      </c>
      <c r="AD50" s="48" t="s">
        <v>56</v>
      </c>
      <c r="AE50" s="89">
        <v>2.5195621185294854</v>
      </c>
      <c r="AF50" s="89">
        <v>0.16098128772792009</v>
      </c>
      <c r="AM50" s="68"/>
    </row>
    <row r="51" spans="3:39">
      <c r="T51" s="68"/>
      <c r="AM51" s="68"/>
    </row>
    <row r="52" spans="3:39">
      <c r="T52" s="68"/>
      <c r="AM52" s="68"/>
    </row>
    <row r="53" spans="3:39">
      <c r="T53" s="68"/>
      <c r="AM53" s="68"/>
    </row>
    <row r="54" spans="3:39">
      <c r="T54" s="68"/>
      <c r="AM54" s="68"/>
    </row>
    <row r="55" spans="3:39">
      <c r="T55" s="68"/>
      <c r="AM55" s="68"/>
    </row>
    <row r="56" spans="3:39">
      <c r="T56" s="68"/>
      <c r="AM56" s="68"/>
    </row>
    <row r="57" spans="3:39">
      <c r="R57" s="100"/>
      <c r="S57" s="100"/>
      <c r="T57" s="68"/>
      <c r="AM57" s="68"/>
    </row>
    <row r="58" spans="3:39">
      <c r="T58" s="68"/>
      <c r="AM58" s="68"/>
    </row>
    <row r="59" spans="3:39">
      <c r="R59" s="80"/>
      <c r="T59" s="68"/>
      <c r="AM59" s="68"/>
    </row>
    <row r="60" spans="3:39">
      <c r="R60" s="80"/>
      <c r="T60" s="68"/>
      <c r="AH60" s="80"/>
      <c r="AM60" s="68"/>
    </row>
    <row r="61" spans="3:39">
      <c r="R61" s="80"/>
      <c r="T61" s="68"/>
      <c r="AH61" s="80"/>
      <c r="AM61" s="68"/>
    </row>
    <row r="62" spans="3:39">
      <c r="T62" s="68"/>
      <c r="AH62" s="80"/>
      <c r="AM62" s="68"/>
    </row>
    <row r="63" spans="3:39">
      <c r="T63" s="68"/>
      <c r="AM63" s="68"/>
    </row>
    <row r="64" spans="3:39">
      <c r="AM64" s="68"/>
    </row>
    <row r="67" spans="17:20" ht="19">
      <c r="Q67" s="119" t="s">
        <v>80</v>
      </c>
      <c r="R67" s="119"/>
      <c r="S67" s="119"/>
      <c r="T67" s="119"/>
    </row>
    <row r="69" spans="17:20" ht="17">
      <c r="Q69" s="177" t="s">
        <v>84</v>
      </c>
      <c r="R69" s="177"/>
      <c r="S69" s="178" t="s">
        <v>85</v>
      </c>
      <c r="T69" s="179"/>
    </row>
    <row r="70" spans="17:20">
      <c r="S70" s="114"/>
    </row>
    <row r="71" spans="17:20">
      <c r="S71" s="114"/>
    </row>
    <row r="72" spans="17:20">
      <c r="S72" s="114"/>
    </row>
    <row r="73" spans="17:20">
      <c r="S73" s="114"/>
    </row>
    <row r="74" spans="17:20">
      <c r="Q74" t="s">
        <v>71</v>
      </c>
      <c r="S74" s="114"/>
    </row>
    <row r="75" spans="17:20">
      <c r="S75" s="114"/>
    </row>
    <row r="76" spans="17:20">
      <c r="S76" s="114"/>
    </row>
    <row r="77" spans="17:20">
      <c r="S77" s="114"/>
    </row>
    <row r="78" spans="17:20">
      <c r="S78" s="114"/>
    </row>
    <row r="79" spans="17:20">
      <c r="S79" s="114"/>
    </row>
    <row r="80" spans="17:20">
      <c r="S80" s="114"/>
    </row>
    <row r="81" spans="17:19">
      <c r="S81" s="114"/>
    </row>
    <row r="82" spans="17:19">
      <c r="S82" s="114"/>
    </row>
    <row r="83" spans="17:19">
      <c r="S83" s="114"/>
    </row>
    <row r="84" spans="17:19">
      <c r="S84" s="114"/>
    </row>
    <row r="85" spans="17:19">
      <c r="S85" s="114"/>
    </row>
    <row r="86" spans="17:19">
      <c r="S86" s="114"/>
    </row>
    <row r="87" spans="17:19">
      <c r="S87" s="114"/>
    </row>
    <row r="88" spans="17:19">
      <c r="S88" s="114"/>
    </row>
    <row r="89" spans="17:19">
      <c r="S89" s="114"/>
    </row>
    <row r="90" spans="17:19">
      <c r="Q90" t="s">
        <v>71</v>
      </c>
      <c r="S90" s="114"/>
    </row>
    <row r="91" spans="17:19">
      <c r="S91" s="114"/>
    </row>
    <row r="92" spans="17:19">
      <c r="S92" s="114"/>
    </row>
    <row r="93" spans="17:19">
      <c r="S93" s="114"/>
    </row>
    <row r="94" spans="17:19">
      <c r="S94" s="114"/>
    </row>
    <row r="95" spans="17:19">
      <c r="S95" s="114"/>
    </row>
    <row r="96" spans="17:19">
      <c r="S96" s="114"/>
    </row>
    <row r="97" spans="1:25">
      <c r="S97" s="114"/>
    </row>
    <row r="98" spans="1:25">
      <c r="S98" s="114"/>
    </row>
    <row r="101" spans="1:25" ht="21">
      <c r="A101" s="45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</row>
    <row r="102" spans="1:25" ht="21">
      <c r="A102" s="43" t="s">
        <v>82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ht="21">
      <c r="A103" s="43" t="s">
        <v>37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ht="17" thickBot="1"/>
    <row r="105" spans="1:25">
      <c r="G105" s="120" t="s">
        <v>90</v>
      </c>
      <c r="H105" s="121"/>
      <c r="I105" s="121"/>
      <c r="J105" s="121"/>
      <c r="K105" s="121"/>
      <c r="L105" s="121"/>
      <c r="M105" s="121"/>
      <c r="N105" s="121"/>
      <c r="O105" s="122"/>
      <c r="Q105" s="126" t="s">
        <v>91</v>
      </c>
      <c r="R105" s="127"/>
      <c r="S105" s="127"/>
      <c r="T105" s="127"/>
      <c r="U105" s="127"/>
      <c r="V105" s="127"/>
      <c r="W105" s="127"/>
      <c r="X105" s="127"/>
      <c r="Y105" s="128"/>
    </row>
    <row r="106" spans="1:25" ht="17" thickBot="1">
      <c r="G106" s="123"/>
      <c r="H106" s="124"/>
      <c r="I106" s="124"/>
      <c r="J106" s="124"/>
      <c r="K106" s="124"/>
      <c r="L106" s="124"/>
      <c r="M106" s="124"/>
      <c r="N106" s="124"/>
      <c r="O106" s="125"/>
      <c r="Q106" s="129"/>
      <c r="R106" s="130"/>
      <c r="S106" s="130"/>
      <c r="T106" s="130"/>
      <c r="U106" s="130"/>
      <c r="V106" s="130"/>
      <c r="W106" s="130"/>
      <c r="X106" s="130"/>
      <c r="Y106" s="131"/>
    </row>
    <row r="107" spans="1:25" ht="27" customHeight="1" thickBot="1">
      <c r="A107" s="11"/>
      <c r="B107" s="12"/>
      <c r="C107" s="13"/>
      <c r="D107" s="132" t="s">
        <v>12</v>
      </c>
      <c r="E107" s="133"/>
      <c r="F107" s="13"/>
      <c r="G107" s="134" t="s">
        <v>21</v>
      </c>
      <c r="H107" s="135"/>
      <c r="I107" s="136"/>
      <c r="J107" s="134" t="s">
        <v>22</v>
      </c>
      <c r="K107" s="135"/>
      <c r="L107" s="136"/>
      <c r="M107" s="134" t="s">
        <v>23</v>
      </c>
      <c r="N107" s="135"/>
      <c r="O107" s="136"/>
      <c r="Q107" s="134" t="s">
        <v>24</v>
      </c>
      <c r="R107" s="135"/>
      <c r="S107" s="136"/>
      <c r="T107" s="134" t="s">
        <v>25</v>
      </c>
      <c r="U107" s="135"/>
      <c r="V107" s="136"/>
      <c r="W107" s="134" t="s">
        <v>26</v>
      </c>
      <c r="X107" s="135"/>
      <c r="Y107" s="136"/>
    </row>
    <row r="108" spans="1:25" ht="52" thickBot="1">
      <c r="A108" s="28"/>
      <c r="B108" s="6" t="s">
        <v>13</v>
      </c>
      <c r="C108" s="7" t="s">
        <v>14</v>
      </c>
      <c r="D108" s="8" t="s">
        <v>15</v>
      </c>
      <c r="E108" s="9" t="s">
        <v>16</v>
      </c>
      <c r="F108" s="10" t="s">
        <v>17</v>
      </c>
      <c r="G108" s="17" t="s">
        <v>18</v>
      </c>
      <c r="H108" s="24" t="s">
        <v>20</v>
      </c>
      <c r="I108" s="19" t="s">
        <v>19</v>
      </c>
      <c r="J108" s="23" t="s">
        <v>27</v>
      </c>
      <c r="K108" s="24" t="s">
        <v>28</v>
      </c>
      <c r="L108" s="20" t="s">
        <v>19</v>
      </c>
      <c r="M108" s="17" t="s">
        <v>29</v>
      </c>
      <c r="N108" s="24" t="s">
        <v>30</v>
      </c>
      <c r="O108" s="21" t="s">
        <v>19</v>
      </c>
      <c r="Q108" s="17" t="s">
        <v>31</v>
      </c>
      <c r="R108" s="24" t="s">
        <v>34</v>
      </c>
      <c r="S108" s="19" t="s">
        <v>19</v>
      </c>
      <c r="T108" s="17" t="s">
        <v>32</v>
      </c>
      <c r="U108" s="24" t="s">
        <v>35</v>
      </c>
      <c r="V108" s="20" t="s">
        <v>19</v>
      </c>
      <c r="W108" s="17" t="s">
        <v>33</v>
      </c>
      <c r="X108" s="24" t="s">
        <v>36</v>
      </c>
      <c r="Y108" s="21" t="s">
        <v>19</v>
      </c>
    </row>
    <row r="109" spans="1:25">
      <c r="A109" s="29" t="s">
        <v>0</v>
      </c>
      <c r="B109" t="s">
        <v>1</v>
      </c>
      <c r="C109" s="41">
        <v>135</v>
      </c>
      <c r="D109" s="1">
        <v>2</v>
      </c>
      <c r="E109" s="1">
        <v>1</v>
      </c>
      <c r="F109" s="2">
        <f t="shared" ref="F109:F125" si="10">E109-D109</f>
        <v>-1</v>
      </c>
      <c r="G109" s="32">
        <v>0.32207719451818151</v>
      </c>
      <c r="H109" s="26">
        <v>2.5864052772933493E-2</v>
      </c>
      <c r="I109" s="39">
        <f>G109/G110</f>
        <v>0.60147368598082318</v>
      </c>
      <c r="J109" s="32">
        <v>0.2594228899411975</v>
      </c>
      <c r="K109" s="26">
        <v>1.3135222963875495E-2</v>
      </c>
      <c r="L109" s="39">
        <f>J109/J110</f>
        <v>0.48837714722317832</v>
      </c>
      <c r="M109" s="32">
        <v>0.29490608588439704</v>
      </c>
      <c r="N109" s="26">
        <v>9.2260922855919858E-3</v>
      </c>
      <c r="O109" s="39">
        <f>M109/M110</f>
        <v>0.51672527537339874</v>
      </c>
      <c r="P109" s="18"/>
      <c r="Q109" s="32">
        <v>0.35161086416544002</v>
      </c>
      <c r="R109" s="26">
        <v>9.8124990428239967E-3</v>
      </c>
      <c r="S109" s="39">
        <f>Q109/Q110</f>
        <v>0.68518924493352118</v>
      </c>
      <c r="T109" s="32">
        <v>0.295409621742801</v>
      </c>
      <c r="U109" s="26">
        <v>9.7005019048029828E-3</v>
      </c>
      <c r="V109" s="39">
        <f>T109/T110</f>
        <v>0.54944701544982988</v>
      </c>
      <c r="W109" s="32">
        <v>0.37592835028837202</v>
      </c>
      <c r="X109" s="26">
        <v>9.1556563808599944E-3</v>
      </c>
      <c r="Y109" s="39">
        <f>W109/W110</f>
        <v>0.56515092532998601</v>
      </c>
    </row>
    <row r="110" spans="1:25">
      <c r="A110" s="5"/>
      <c r="B110" t="s">
        <v>1</v>
      </c>
      <c r="C110" s="41">
        <f t="shared" ref="C110:C125" si="11">C109+1</f>
        <v>136</v>
      </c>
      <c r="D110" s="1">
        <v>0</v>
      </c>
      <c r="E110" s="1">
        <v>0</v>
      </c>
      <c r="F110" s="3">
        <f t="shared" si="10"/>
        <v>0</v>
      </c>
      <c r="G110" s="33">
        <v>0.53548010831591109</v>
      </c>
      <c r="H110" s="26">
        <v>3.3862491951895002E-2</v>
      </c>
      <c r="I110" s="39">
        <f t="shared" ref="I110:I124" si="12">G110/G111</f>
        <v>1.9967862953565607</v>
      </c>
      <c r="J110" s="33">
        <v>0.53119375346743358</v>
      </c>
      <c r="K110" s="26">
        <v>8.5964994628565106E-3</v>
      </c>
      <c r="L110" s="39">
        <f t="shared" ref="L110:L111" si="13">J110/J111</f>
        <v>2.7162819528195752</v>
      </c>
      <c r="M110" s="33">
        <v>0.57072123222788051</v>
      </c>
      <c r="N110" s="26">
        <v>1.0133303785768488E-2</v>
      </c>
      <c r="O110" s="39">
        <f t="shared" ref="O110:O124" si="14">M110/M111</f>
        <v>2.760486083688408</v>
      </c>
      <c r="P110" s="18"/>
      <c r="Q110" s="33">
        <v>0.51315876126974846</v>
      </c>
      <c r="R110" s="26">
        <v>7.3179874602244954E-3</v>
      </c>
      <c r="S110" s="39">
        <f t="shared" ref="S110:S119" si="15">Q110/Q111</f>
        <v>1.6710799835219465</v>
      </c>
      <c r="T110" s="33">
        <v>0.53764896966625697</v>
      </c>
      <c r="U110" s="26">
        <v>1.7834517712803977E-2</v>
      </c>
      <c r="V110" s="39">
        <f t="shared" ref="V110:V124" si="16">T110/T111</f>
        <v>2.1913162287462211</v>
      </c>
      <c r="W110" s="33">
        <v>0.66518222556013895</v>
      </c>
      <c r="X110" s="26">
        <v>2.8911385138226997E-2</v>
      </c>
      <c r="Y110" s="39">
        <f t="shared" ref="Y110:Y124" si="17">W110/W111</f>
        <v>2.3173651414080951</v>
      </c>
    </row>
    <row r="111" spans="1:25">
      <c r="A111" s="5"/>
      <c r="B111" t="s">
        <v>1</v>
      </c>
      <c r="C111" s="41">
        <f t="shared" si="11"/>
        <v>137</v>
      </c>
      <c r="D111" s="1">
        <v>0</v>
      </c>
      <c r="E111" s="1">
        <v>0</v>
      </c>
      <c r="F111" s="3">
        <f t="shared" si="10"/>
        <v>0</v>
      </c>
      <c r="G111" s="34">
        <v>0.26817096529615947</v>
      </c>
      <c r="H111" s="26">
        <v>2.4136727011532494E-2</v>
      </c>
      <c r="I111" s="39">
        <f t="shared" si="12"/>
        <v>1.0249859489551378</v>
      </c>
      <c r="J111" s="34">
        <v>0.19555913660437199</v>
      </c>
      <c r="K111" s="26">
        <v>9.4413715773540019E-3</v>
      </c>
      <c r="L111" s="39">
        <f t="shared" si="13"/>
        <v>1.0851193405408566</v>
      </c>
      <c r="M111" s="34">
        <v>0.20674664349885602</v>
      </c>
      <c r="N111" s="26">
        <v>1.2167792556966997E-2</v>
      </c>
      <c r="O111" s="39">
        <f t="shared" si="14"/>
        <v>1.0705482278250413</v>
      </c>
      <c r="P111" s="18"/>
      <c r="Q111" s="34">
        <v>0.30708210638022349</v>
      </c>
      <c r="R111" s="26">
        <v>9.368022189271491E-3</v>
      </c>
      <c r="S111" s="39">
        <f t="shared" si="15"/>
        <v>1.0988994640925096</v>
      </c>
      <c r="T111" s="34">
        <v>0.24535435032755498</v>
      </c>
      <c r="U111" s="26">
        <v>9.6279879917510053E-3</v>
      </c>
      <c r="V111" s="39">
        <f t="shared" si="16"/>
        <v>1.1766452281886213</v>
      </c>
      <c r="W111" s="34">
        <v>0.28704247495323754</v>
      </c>
      <c r="X111" s="26">
        <v>1.8980034282422481E-2</v>
      </c>
      <c r="Y111" s="39">
        <f t="shared" si="17"/>
        <v>1.1756008980376691</v>
      </c>
    </row>
    <row r="112" spans="1:25">
      <c r="A112" s="5"/>
      <c r="B112" t="s">
        <v>2</v>
      </c>
      <c r="C112" s="41">
        <f t="shared" si="11"/>
        <v>138</v>
      </c>
      <c r="D112" s="1">
        <v>0</v>
      </c>
      <c r="E112" s="1">
        <v>0</v>
      </c>
      <c r="F112" s="3">
        <f t="shared" si="10"/>
        <v>0</v>
      </c>
      <c r="G112" s="34">
        <v>0.26163379660914449</v>
      </c>
      <c r="H112" s="26">
        <v>2.2314244498894506E-2</v>
      </c>
      <c r="I112" s="40">
        <f t="shared" si="12"/>
        <v>88.745915438148785</v>
      </c>
      <c r="J112" s="34">
        <v>0.18021901305979798</v>
      </c>
      <c r="K112" s="26">
        <v>8.5907733635450095E-3</v>
      </c>
      <c r="L112" s="40">
        <f>J112/J113</f>
        <v>79.892009857499545</v>
      </c>
      <c r="M112" s="34">
        <v>0.19312221357732651</v>
      </c>
      <c r="N112" s="26">
        <v>1.1257554718802507E-2</v>
      </c>
      <c r="O112" s="40">
        <f t="shared" si="14"/>
        <v>135.26907355113377</v>
      </c>
      <c r="P112" s="18"/>
      <c r="Q112" s="34">
        <v>0.27944513252976899</v>
      </c>
      <c r="R112" s="26">
        <v>9.0603481471190073E-3</v>
      </c>
      <c r="S112" s="40">
        <f t="shared" si="15"/>
        <v>85.572216310446393</v>
      </c>
      <c r="T112" s="34">
        <v>0.20852024420756299</v>
      </c>
      <c r="U112" s="26">
        <v>9.4414961005459958E-3</v>
      </c>
      <c r="V112" s="40">
        <f t="shared" si="16"/>
        <v>74.678246298007309</v>
      </c>
      <c r="W112" s="34">
        <v>0.2441666006145225</v>
      </c>
      <c r="X112" s="26">
        <v>1.6754655744690497E-2</v>
      </c>
      <c r="Y112" s="40">
        <f t="shared" si="17"/>
        <v>70.437878355284809</v>
      </c>
    </row>
    <row r="113" spans="1:25">
      <c r="A113" s="30" t="s">
        <v>3</v>
      </c>
      <c r="B113" t="s">
        <v>1</v>
      </c>
      <c r="C113" s="41">
        <f t="shared" si="11"/>
        <v>139</v>
      </c>
      <c r="D113" s="1">
        <v>0</v>
      </c>
      <c r="E113" s="1">
        <v>1</v>
      </c>
      <c r="F113" s="4">
        <f t="shared" si="10"/>
        <v>1</v>
      </c>
      <c r="G113" s="35">
        <v>2.9481221227752102E-3</v>
      </c>
      <c r="H113" s="26">
        <v>3.0659784561760115E-5</v>
      </c>
      <c r="I113" s="39">
        <f t="shared" si="12"/>
        <v>1.3506911082843465E-2</v>
      </c>
      <c r="J113" s="35">
        <v>2.2557826919268652E-3</v>
      </c>
      <c r="K113" s="26">
        <v>4.3080403240312501E-4</v>
      </c>
      <c r="L113" s="39">
        <f t="shared" ref="L113:L115" si="18">J113/J114</f>
        <v>7.6501471484326398E-3</v>
      </c>
      <c r="M113" s="35">
        <v>1.4276893343571498E-3</v>
      </c>
      <c r="N113" s="26">
        <v>7.7094743323780014E-5</v>
      </c>
      <c r="O113" s="39">
        <f t="shared" si="14"/>
        <v>4.520063267368782E-3</v>
      </c>
      <c r="P113" s="18"/>
      <c r="Q113" s="35">
        <v>3.2656058774494451E-3</v>
      </c>
      <c r="R113" s="26">
        <v>7.0919810708975012E-5</v>
      </c>
      <c r="S113" s="39">
        <f t="shared" si="15"/>
        <v>1.9872315522608625E-2</v>
      </c>
      <c r="T113" s="35">
        <v>2.792248807978865E-3</v>
      </c>
      <c r="U113" s="26">
        <v>1.7252273021436514E-4</v>
      </c>
      <c r="V113" s="39">
        <f t="shared" si="16"/>
        <v>1.1906662554249724E-2</v>
      </c>
      <c r="W113" s="35">
        <v>3.4664104927033647E-3</v>
      </c>
      <c r="X113" s="26">
        <v>1.5237093747715079E-5</v>
      </c>
      <c r="Y113" s="39">
        <f t="shared" si="17"/>
        <v>1.21168477323325E-2</v>
      </c>
    </row>
    <row r="114" spans="1:25">
      <c r="A114" s="30" t="s">
        <v>4</v>
      </c>
      <c r="B114" t="s">
        <v>1</v>
      </c>
      <c r="C114" s="41">
        <f t="shared" si="11"/>
        <v>140</v>
      </c>
      <c r="D114" s="1">
        <v>0</v>
      </c>
      <c r="E114" s="1">
        <v>2</v>
      </c>
      <c r="F114" s="4">
        <f t="shared" si="10"/>
        <v>2</v>
      </c>
      <c r="G114" s="34">
        <v>0.2182676782791535</v>
      </c>
      <c r="H114" s="26">
        <v>1.7239764104474975E-3</v>
      </c>
      <c r="I114" s="39">
        <f t="shared" si="12"/>
        <v>0.73274728935544953</v>
      </c>
      <c r="J114" s="34">
        <v>0.29486788269020803</v>
      </c>
      <c r="K114" s="26">
        <v>4.088164919340026E-3</v>
      </c>
      <c r="L114" s="39">
        <f t="shared" si="18"/>
        <v>0.81351547463525209</v>
      </c>
      <c r="M114" s="34">
        <v>0.31585605110085901</v>
      </c>
      <c r="N114" s="26">
        <v>1.1769914539633997E-2</v>
      </c>
      <c r="O114" s="39">
        <f t="shared" si="14"/>
        <v>0.79795237342928094</v>
      </c>
      <c r="P114" s="18"/>
      <c r="Q114" s="34">
        <v>0.16432940961178799</v>
      </c>
      <c r="R114" s="26">
        <v>7.2336789004529972E-3</v>
      </c>
      <c r="S114" s="39">
        <f t="shared" si="15"/>
        <v>0.75094983181383768</v>
      </c>
      <c r="T114" s="34">
        <v>0.2345114590471245</v>
      </c>
      <c r="U114" s="26">
        <v>8.4522794762850739E-4</v>
      </c>
      <c r="V114" s="39">
        <f t="shared" si="16"/>
        <v>0.80643496599059139</v>
      </c>
      <c r="W114" s="34">
        <v>0.286081872882963</v>
      </c>
      <c r="X114" s="26">
        <v>6.0112617312709782E-3</v>
      </c>
      <c r="Y114" s="39">
        <f t="shared" si="17"/>
        <v>0.77760134000287306</v>
      </c>
    </row>
    <row r="115" spans="1:25">
      <c r="A115" s="30" t="s">
        <v>5</v>
      </c>
      <c r="B115" t="s">
        <v>1</v>
      </c>
      <c r="C115" s="41">
        <f t="shared" si="11"/>
        <v>141</v>
      </c>
      <c r="D115" s="1">
        <v>0</v>
      </c>
      <c r="E115" s="1">
        <v>1</v>
      </c>
      <c r="F115" s="4">
        <f t="shared" si="10"/>
        <v>1</v>
      </c>
      <c r="G115" s="34">
        <v>0.2978757908079735</v>
      </c>
      <c r="H115" s="26">
        <v>2.5530708277194947E-3</v>
      </c>
      <c r="I115" s="39">
        <f t="shared" si="12"/>
        <v>0.48869072899191623</v>
      </c>
      <c r="J115" s="34">
        <v>0.3624613076013275</v>
      </c>
      <c r="K115" s="26">
        <v>1.6235188823948699E-4</v>
      </c>
      <c r="L115" s="39">
        <f t="shared" si="18"/>
        <v>0.53455890690321517</v>
      </c>
      <c r="M115" s="34">
        <v>0.39583321212948552</v>
      </c>
      <c r="N115" s="26">
        <v>9.9660117117675029E-3</v>
      </c>
      <c r="O115" s="39">
        <f t="shared" si="14"/>
        <v>0.52448306425765634</v>
      </c>
      <c r="P115" s="18"/>
      <c r="Q115" s="34">
        <v>0.218828745476736</v>
      </c>
      <c r="R115" s="26">
        <v>6.1204759179830093E-3</v>
      </c>
      <c r="S115" s="39">
        <f t="shared" si="15"/>
        <v>0.40548478238691477</v>
      </c>
      <c r="T115" s="34">
        <v>0.29080021196633049</v>
      </c>
      <c r="U115" s="26">
        <v>3.5446489184545182E-3</v>
      </c>
      <c r="V115" s="39">
        <f t="shared" si="16"/>
        <v>0.48203543355110684</v>
      </c>
      <c r="W115" s="34">
        <v>0.36790300912020801</v>
      </c>
      <c r="X115" s="26">
        <v>3.5001593246679896E-3</v>
      </c>
      <c r="Y115" s="39">
        <f t="shared" si="17"/>
        <v>0.46180821161811608</v>
      </c>
    </row>
    <row r="116" spans="1:25">
      <c r="A116" s="5"/>
      <c r="B116" t="s">
        <v>6</v>
      </c>
      <c r="C116" s="41">
        <f t="shared" si="11"/>
        <v>142</v>
      </c>
      <c r="D116" s="1">
        <v>0</v>
      </c>
      <c r="E116" s="1">
        <v>0</v>
      </c>
      <c r="F116" s="3">
        <f t="shared" si="10"/>
        <v>0</v>
      </c>
      <c r="G116" s="33">
        <v>0.609538452719247</v>
      </c>
      <c r="H116" s="26">
        <v>3.5648713056154024E-2</v>
      </c>
      <c r="I116" s="40">
        <f t="shared" si="12"/>
        <v>566.19409800333108</v>
      </c>
      <c r="J116" s="33">
        <v>0.67805681080336599</v>
      </c>
      <c r="K116" s="26">
        <v>1.2276807673964996E-2</v>
      </c>
      <c r="L116" s="40">
        <f>J116/J117</f>
        <v>1137.5718978620371</v>
      </c>
      <c r="M116" s="33">
        <v>0.75471114151176755</v>
      </c>
      <c r="N116" s="26">
        <v>5.1421406087214794E-3</v>
      </c>
      <c r="O116" s="40">
        <f t="shared" si="14"/>
        <v>862.54139873206907</v>
      </c>
      <c r="P116" s="18"/>
      <c r="Q116" s="33">
        <v>0.53967190627619899</v>
      </c>
      <c r="R116" s="26">
        <v>9.7351047296001525E-4</v>
      </c>
      <c r="S116" s="40">
        <f t="shared" si="15"/>
        <v>681.57242538301477</v>
      </c>
      <c r="T116" s="33">
        <v>0.60327559288335797</v>
      </c>
      <c r="U116" s="26">
        <v>1.6651229520245003E-2</v>
      </c>
      <c r="V116" s="40">
        <f t="shared" si="16"/>
        <v>1007.441712648689</v>
      </c>
      <c r="W116" s="33">
        <v>0.7966575731321961</v>
      </c>
      <c r="X116" s="26">
        <v>1.1844627764025005E-2</v>
      </c>
      <c r="Y116" s="40">
        <f t="shared" si="17"/>
        <v>1151.904257743312</v>
      </c>
    </row>
    <row r="117" spans="1:25">
      <c r="A117" s="5"/>
      <c r="B117" t="s">
        <v>1</v>
      </c>
      <c r="C117" s="41">
        <f t="shared" si="11"/>
        <v>143</v>
      </c>
      <c r="D117" s="1">
        <v>0</v>
      </c>
      <c r="E117" s="1">
        <v>0</v>
      </c>
      <c r="F117" s="3">
        <f t="shared" si="10"/>
        <v>0</v>
      </c>
      <c r="G117" s="35">
        <v>1.0765538794359896E-3</v>
      </c>
      <c r="H117" s="26">
        <v>1.4117627156255051E-4</v>
      </c>
      <c r="I117" s="39">
        <f t="shared" si="12"/>
        <v>1.0480858967326065</v>
      </c>
      <c r="J117" s="35">
        <v>5.9605622473420106E-4</v>
      </c>
      <c r="K117" s="26">
        <v>7.9163221585852952E-5</v>
      </c>
      <c r="L117" s="39">
        <f t="shared" ref="L117:L124" si="19">J117/J118</f>
        <v>1.968157646134761</v>
      </c>
      <c r="M117" s="35">
        <v>8.7498541243491456E-4</v>
      </c>
      <c r="N117" s="26">
        <v>8.7862739366316455E-5</v>
      </c>
      <c r="O117" s="39">
        <f t="shared" si="14"/>
        <v>3.1631652659432894</v>
      </c>
      <c r="P117" s="18"/>
      <c r="Q117" s="35">
        <v>7.9180419597070148E-4</v>
      </c>
      <c r="R117" s="26">
        <v>1.2313151124987247E-4</v>
      </c>
      <c r="S117" s="39">
        <f t="shared" si="15"/>
        <v>2.0778464837453985</v>
      </c>
      <c r="T117" s="35">
        <v>5.9881935134219503E-4</v>
      </c>
      <c r="U117" s="26">
        <v>1.1209984084296001E-4</v>
      </c>
      <c r="V117" s="39">
        <f t="shared" si="16"/>
        <v>1.8725268159527044</v>
      </c>
      <c r="W117" s="35">
        <v>6.9160051087311953E-4</v>
      </c>
      <c r="X117" s="26">
        <v>9.9209445008009505E-5</v>
      </c>
      <c r="Y117" s="39">
        <f t="shared" si="17"/>
        <v>2.233603228131948</v>
      </c>
    </row>
    <row r="118" spans="1:25">
      <c r="A118" s="29" t="s">
        <v>7</v>
      </c>
      <c r="B118" t="s">
        <v>6</v>
      </c>
      <c r="C118" s="41">
        <f t="shared" si="11"/>
        <v>144</v>
      </c>
      <c r="D118" s="1">
        <v>1</v>
      </c>
      <c r="E118" s="1">
        <v>0</v>
      </c>
      <c r="F118" s="2">
        <f t="shared" si="10"/>
        <v>-1</v>
      </c>
      <c r="G118" s="35">
        <v>1.0271618793766155E-3</v>
      </c>
      <c r="H118" s="26">
        <v>2.1602799959519452E-4</v>
      </c>
      <c r="I118" s="39">
        <f t="shared" si="12"/>
        <v>0.41980148287707997</v>
      </c>
      <c r="J118" s="35">
        <v>3.0284983822550398E-4</v>
      </c>
      <c r="K118" s="26">
        <v>1.0978100918795201E-4</v>
      </c>
      <c r="L118" s="39">
        <f t="shared" si="19"/>
        <v>0.25709752539080205</v>
      </c>
      <c r="M118" s="35">
        <v>2.766170398542185E-4</v>
      </c>
      <c r="N118" s="26">
        <v>3.5590265796733489E-5</v>
      </c>
      <c r="O118" s="39">
        <f t="shared" si="14"/>
        <v>0.2830479295999897</v>
      </c>
      <c r="P118" s="18"/>
      <c r="Q118" s="35">
        <v>3.8106963250886749E-4</v>
      </c>
      <c r="R118" s="26">
        <v>6.2570388057195067E-6</v>
      </c>
      <c r="S118" s="39">
        <f t="shared" si="15"/>
        <v>0.16714125916033196</v>
      </c>
      <c r="T118" s="35">
        <v>3.197921366148915E-4</v>
      </c>
      <c r="U118" s="26">
        <v>7.4840854703182478E-5</v>
      </c>
      <c r="V118" s="39">
        <f t="shared" si="16"/>
        <v>0.19757950304976452</v>
      </c>
      <c r="W118" s="35">
        <v>3.0963445170677548E-4</v>
      </c>
      <c r="X118" s="26">
        <v>9.4460375879431503E-5</v>
      </c>
      <c r="Y118" s="39">
        <f t="shared" si="17"/>
        <v>0.21033359704784038</v>
      </c>
    </row>
    <row r="119" spans="1:25">
      <c r="A119" s="5"/>
      <c r="B119" t="s">
        <v>2</v>
      </c>
      <c r="C119" s="41">
        <f t="shared" si="11"/>
        <v>145</v>
      </c>
      <c r="D119" s="1">
        <v>0</v>
      </c>
      <c r="E119" s="1">
        <v>0</v>
      </c>
      <c r="F119" s="3">
        <f t="shared" si="10"/>
        <v>0</v>
      </c>
      <c r="G119" s="35">
        <v>2.4467800169190299E-3</v>
      </c>
      <c r="H119" s="26">
        <v>1.6627830654275012E-4</v>
      </c>
      <c r="I119" s="39">
        <f t="shared" si="12"/>
        <v>7.079544793855458E-3</v>
      </c>
      <c r="J119" s="35">
        <v>1.1779570330953436E-3</v>
      </c>
      <c r="K119" s="26">
        <v>1.8591448080203645E-4</v>
      </c>
      <c r="L119" s="39">
        <f t="shared" si="19"/>
        <v>5.7599856755029509E-3</v>
      </c>
      <c r="M119" s="35">
        <v>9.7727985590687939E-4</v>
      </c>
      <c r="N119" s="26">
        <v>3.2583929908060476E-5</v>
      </c>
      <c r="O119" s="39">
        <f t="shared" si="14"/>
        <v>4.6301021749567831E-3</v>
      </c>
      <c r="P119" s="18"/>
      <c r="Q119" s="35">
        <v>2.2799255816502049E-3</v>
      </c>
      <c r="R119" s="26">
        <v>2.7122119597896492E-4</v>
      </c>
      <c r="S119" s="39">
        <f t="shared" si="15"/>
        <v>6.5129244273957384E-3</v>
      </c>
      <c r="T119" s="35">
        <v>1.61854914947501E-3</v>
      </c>
      <c r="U119" s="26">
        <v>2.2666384082444002E-4</v>
      </c>
      <c r="V119" s="39">
        <f t="shared" si="16"/>
        <v>6.7400053443609905E-3</v>
      </c>
      <c r="W119" s="35">
        <v>1.4721112368764801E-3</v>
      </c>
      <c r="X119" s="26">
        <v>1.1076042555530996E-4</v>
      </c>
      <c r="Y119" s="39">
        <f t="shared" si="17"/>
        <v>5.3731108156583676E-3</v>
      </c>
    </row>
    <row r="120" spans="1:25">
      <c r="A120" s="29" t="s">
        <v>8</v>
      </c>
      <c r="B120" t="s">
        <v>1</v>
      </c>
      <c r="C120" s="41">
        <f t="shared" si="11"/>
        <v>146</v>
      </c>
      <c r="D120" s="1">
        <v>3</v>
      </c>
      <c r="E120" s="1">
        <v>1</v>
      </c>
      <c r="F120" s="2">
        <f t="shared" si="10"/>
        <v>-2</v>
      </c>
      <c r="G120" s="33">
        <v>0.34561261891338851</v>
      </c>
      <c r="H120" s="26">
        <v>2.621755894088551E-2</v>
      </c>
      <c r="I120" s="40">
        <f t="shared" si="12"/>
        <v>66.983080520289278</v>
      </c>
      <c r="J120" s="33">
        <v>0.2045069379434675</v>
      </c>
      <c r="K120" s="26">
        <v>1.0030725683632502E-2</v>
      </c>
      <c r="L120" s="40">
        <f t="shared" si="19"/>
        <v>31.936430821140796</v>
      </c>
      <c r="M120" s="33">
        <v>0.211070904912806</v>
      </c>
      <c r="N120" s="26">
        <v>1.3791344001220007E-2</v>
      </c>
      <c r="O120" s="40">
        <f t="shared" si="14"/>
        <v>27.485522848531804</v>
      </c>
      <c r="P120" s="18"/>
      <c r="Q120" s="33">
        <v>0.35006172834740801</v>
      </c>
      <c r="R120" s="26">
        <v>6.8093227726380157E-3</v>
      </c>
      <c r="S120" s="40">
        <f>Q120/Q121</f>
        <v>83.893395097798603</v>
      </c>
      <c r="T120" s="33">
        <v>0.240140632949077</v>
      </c>
      <c r="U120" s="26">
        <v>9.6597042591929916E-3</v>
      </c>
      <c r="V120" s="40">
        <f t="shared" si="16"/>
        <v>38.158657940367277</v>
      </c>
      <c r="W120" s="33">
        <v>0.27397745689265152</v>
      </c>
      <c r="X120" s="26">
        <v>7.1672280904984953E-3</v>
      </c>
      <c r="Y120" s="40">
        <f t="shared" si="17"/>
        <v>37.317864242591796</v>
      </c>
    </row>
    <row r="121" spans="1:25">
      <c r="A121" s="30" t="s">
        <v>9</v>
      </c>
      <c r="B121" t="s">
        <v>2</v>
      </c>
      <c r="C121" s="41">
        <f t="shared" si="11"/>
        <v>147</v>
      </c>
      <c r="D121" s="1">
        <v>0</v>
      </c>
      <c r="E121" s="1">
        <v>2</v>
      </c>
      <c r="F121" s="4">
        <f t="shared" si="10"/>
        <v>2</v>
      </c>
      <c r="G121" s="34">
        <v>5.1597002739923545E-3</v>
      </c>
      <c r="H121" s="26">
        <v>7.773495361093649E-4</v>
      </c>
      <c r="I121" s="39">
        <f t="shared" si="12"/>
        <v>10.550479257557637</v>
      </c>
      <c r="J121" s="34">
        <v>6.40356272398765E-3</v>
      </c>
      <c r="K121" s="26">
        <v>1.5935568949815987E-4</v>
      </c>
      <c r="L121" s="39">
        <f t="shared" si="19"/>
        <v>20.228998878467642</v>
      </c>
      <c r="M121" s="34">
        <v>7.6793483637179853E-3</v>
      </c>
      <c r="N121" s="26">
        <v>1.0851130924043528E-4</v>
      </c>
      <c r="O121" s="39">
        <f t="shared" si="14"/>
        <v>23.621614567426001</v>
      </c>
      <c r="P121" s="18"/>
      <c r="Q121" s="34">
        <v>4.1726971228107299E-3</v>
      </c>
      <c r="R121" s="26">
        <v>7.9712549311801786E-6</v>
      </c>
      <c r="S121" s="39">
        <f t="shared" ref="S121:S124" si="20">Q121/Q122</f>
        <v>10.771155731531234</v>
      </c>
      <c r="T121" s="34">
        <v>6.2932148537393155E-3</v>
      </c>
      <c r="U121" s="26">
        <v>7.0114542492926519E-4</v>
      </c>
      <c r="V121" s="39">
        <f t="shared" si="16"/>
        <v>35.635775292827027</v>
      </c>
      <c r="W121" s="34">
        <v>7.3417239290975902E-3</v>
      </c>
      <c r="X121" s="26">
        <v>5.5875621057941034E-4</v>
      </c>
      <c r="Y121" s="39">
        <f t="shared" si="17"/>
        <v>11.574913862246198</v>
      </c>
    </row>
    <row r="122" spans="1:25">
      <c r="A122" s="30" t="s">
        <v>10</v>
      </c>
      <c r="B122" t="s">
        <v>1</v>
      </c>
      <c r="C122" s="41">
        <f t="shared" si="11"/>
        <v>148</v>
      </c>
      <c r="D122" s="1">
        <v>0</v>
      </c>
      <c r="E122" s="1">
        <v>1</v>
      </c>
      <c r="F122" s="4">
        <f t="shared" si="10"/>
        <v>1</v>
      </c>
      <c r="G122" s="36">
        <v>4.8904889986834494E-4</v>
      </c>
      <c r="H122" s="26">
        <v>1.4313287098435698E-4</v>
      </c>
      <c r="I122" s="39">
        <f t="shared" si="12"/>
        <v>0.70535208750761236</v>
      </c>
      <c r="J122" s="36">
        <v>3.1655361505822198E-4</v>
      </c>
      <c r="K122" s="26">
        <v>7.4750732767864982E-5</v>
      </c>
      <c r="L122" s="39">
        <f t="shared" si="19"/>
        <v>0.67298210171710693</v>
      </c>
      <c r="M122" s="36">
        <v>3.2509836877567797E-4</v>
      </c>
      <c r="N122" s="26">
        <v>3.6761591419726E-5</v>
      </c>
      <c r="O122" s="39">
        <f t="shared" si="14"/>
        <v>0.74369232144289588</v>
      </c>
      <c r="P122" s="18"/>
      <c r="Q122" s="36">
        <v>3.87395487245224E-4</v>
      </c>
      <c r="R122" s="26">
        <v>3.3336059732083016E-5</v>
      </c>
      <c r="S122" s="39">
        <f t="shared" si="20"/>
        <v>0.65506738504287698</v>
      </c>
      <c r="T122" s="36">
        <v>1.7659823034651501E-4</v>
      </c>
      <c r="U122" s="26">
        <v>3.9656950767198994E-5</v>
      </c>
      <c r="V122" s="39">
        <f t="shared" si="16"/>
        <v>0.38903302582671456</v>
      </c>
      <c r="W122" s="36">
        <v>6.3427892565525096E-4</v>
      </c>
      <c r="X122" s="26">
        <v>2.2909253991781201E-4</v>
      </c>
      <c r="Y122" s="39">
        <f t="shared" si="17"/>
        <v>1.1238061480741171</v>
      </c>
    </row>
    <row r="123" spans="1:25">
      <c r="A123" s="5"/>
      <c r="B123" t="s">
        <v>1</v>
      </c>
      <c r="C123" s="41">
        <f t="shared" si="11"/>
        <v>149</v>
      </c>
      <c r="D123" s="1">
        <v>0</v>
      </c>
      <c r="E123" s="1">
        <v>0</v>
      </c>
      <c r="F123" s="3">
        <f t="shared" si="10"/>
        <v>0</v>
      </c>
      <c r="G123" s="36">
        <v>6.9334011840301957E-4</v>
      </c>
      <c r="H123" s="26">
        <v>2.142720557929466E-6</v>
      </c>
      <c r="I123" s="39">
        <f t="shared" si="12"/>
        <v>1.0814040430647918</v>
      </c>
      <c r="J123" s="36">
        <v>4.7037449324512299E-4</v>
      </c>
      <c r="K123" s="26">
        <v>1.41504396933166E-4</v>
      </c>
      <c r="L123" s="39">
        <f t="shared" si="19"/>
        <v>0.73144554350394586</v>
      </c>
      <c r="M123" s="36">
        <v>4.3714095117309952E-4</v>
      </c>
      <c r="N123" s="26">
        <v>1.0276515211328551E-4</v>
      </c>
      <c r="O123" s="39">
        <f t="shared" si="14"/>
        <v>0.79598062071796083</v>
      </c>
      <c r="P123" s="18"/>
      <c r="Q123" s="36">
        <v>5.9138265175554005E-4</v>
      </c>
      <c r="R123" s="26">
        <v>5.137030861626803E-5</v>
      </c>
      <c r="S123" s="39">
        <f t="shared" si="20"/>
        <v>0.8891452789648846</v>
      </c>
      <c r="T123" s="36">
        <v>4.5394148728436349E-4</v>
      </c>
      <c r="U123" s="26">
        <v>3.2778023214871503E-5</v>
      </c>
      <c r="V123" s="39">
        <f t="shared" si="16"/>
        <v>0.5193904407324591</v>
      </c>
      <c r="W123" s="36">
        <v>5.6440243430081242E-4</v>
      </c>
      <c r="X123" s="26">
        <v>5.9817291042508494E-5</v>
      </c>
      <c r="Y123" s="39">
        <f t="shared" si="17"/>
        <v>0.78597015665865777</v>
      </c>
    </row>
    <row r="124" spans="1:25">
      <c r="A124" s="5"/>
      <c r="B124" t="s">
        <v>2</v>
      </c>
      <c r="C124" s="41">
        <f t="shared" si="11"/>
        <v>150</v>
      </c>
      <c r="D124" s="1">
        <v>0</v>
      </c>
      <c r="E124" s="1">
        <v>0</v>
      </c>
      <c r="F124" s="3">
        <f t="shared" si="10"/>
        <v>0</v>
      </c>
      <c r="G124" s="36">
        <v>6.4114807305328198E-4</v>
      </c>
      <c r="H124" s="26">
        <v>5.0049324791808013E-5</v>
      </c>
      <c r="I124" s="39">
        <f t="shared" si="12"/>
        <v>0.75179806609275801</v>
      </c>
      <c r="J124" s="36">
        <v>6.4307520556051555E-4</v>
      </c>
      <c r="K124" s="26">
        <v>3.2144240759538454E-5</v>
      </c>
      <c r="L124" s="39">
        <f t="shared" si="19"/>
        <v>0.85637129389705369</v>
      </c>
      <c r="M124" s="36">
        <v>5.4918541958823806E-4</v>
      </c>
      <c r="N124" s="26">
        <v>3.7696593651819963E-5</v>
      </c>
      <c r="O124" s="39">
        <f t="shared" si="14"/>
        <v>0.66317611837939705</v>
      </c>
      <c r="P124" s="18"/>
      <c r="Q124" s="36">
        <v>6.6511363862158655E-4</v>
      </c>
      <c r="R124" s="26">
        <v>1.5082939371942854E-4</v>
      </c>
      <c r="S124" s="39">
        <f t="shared" si="20"/>
        <v>0.65410308333210021</v>
      </c>
      <c r="T124" s="36">
        <v>8.7398891408975942E-4</v>
      </c>
      <c r="U124" s="26">
        <v>7.4128020332152485E-5</v>
      </c>
      <c r="V124" s="39">
        <f t="shared" si="16"/>
        <v>1.3930989310941466</v>
      </c>
      <c r="W124" s="36">
        <v>7.1809651997503145E-4</v>
      </c>
      <c r="X124" s="26">
        <v>9.3876794631710537E-5</v>
      </c>
      <c r="Y124" s="39">
        <f t="shared" si="17"/>
        <v>0.75218272144642273</v>
      </c>
    </row>
    <row r="125" spans="1:25" ht="17" thickBot="1">
      <c r="A125" s="31" t="s">
        <v>11</v>
      </c>
      <c r="B125" s="14" t="s">
        <v>1</v>
      </c>
      <c r="C125" s="42">
        <f t="shared" si="11"/>
        <v>151</v>
      </c>
      <c r="D125" s="15">
        <v>0</v>
      </c>
      <c r="E125" s="15">
        <v>2</v>
      </c>
      <c r="F125" s="16">
        <f t="shared" si="10"/>
        <v>2</v>
      </c>
      <c r="G125" s="37">
        <v>8.5281952956523855E-4</v>
      </c>
      <c r="H125" s="27">
        <v>1.0738531413475048E-4</v>
      </c>
      <c r="I125" s="25"/>
      <c r="J125" s="38">
        <v>7.5093036179914394E-4</v>
      </c>
      <c r="K125" s="27">
        <v>1.0846328823666402E-4</v>
      </c>
      <c r="L125" s="25"/>
      <c r="M125" s="38">
        <v>8.2811398717173661E-4</v>
      </c>
      <c r="N125" s="27">
        <v>1.9193108458724352E-4</v>
      </c>
      <c r="O125" s="25"/>
      <c r="P125" s="22"/>
      <c r="Q125" s="38">
        <v>1.0168330582289826E-3</v>
      </c>
      <c r="R125" s="27">
        <v>4.5194402766797535E-5</v>
      </c>
      <c r="S125" s="25"/>
      <c r="T125" s="38">
        <v>6.2737031418387806E-4</v>
      </c>
      <c r="U125" s="27">
        <v>9.5723609753579583E-6</v>
      </c>
      <c r="V125" s="25"/>
      <c r="W125" s="38">
        <v>9.5468361543077644E-4</v>
      </c>
      <c r="X125" s="27">
        <v>1.947987461581351E-5</v>
      </c>
      <c r="Y125" s="25"/>
    </row>
  </sheetData>
  <mergeCells count="33">
    <mergeCell ref="Q69:R69"/>
    <mergeCell ref="S69:T69"/>
    <mergeCell ref="C45:H45"/>
    <mergeCell ref="E17:J17"/>
    <mergeCell ref="K17:O17"/>
    <mergeCell ref="P17:T17"/>
    <mergeCell ref="F26:I26"/>
    <mergeCell ref="C44:H44"/>
    <mergeCell ref="J45:M45"/>
    <mergeCell ref="AI18:AM18"/>
    <mergeCell ref="J26:M26"/>
    <mergeCell ref="AC46:AF46"/>
    <mergeCell ref="V45:AA45"/>
    <mergeCell ref="C5:T6"/>
    <mergeCell ref="E9:J9"/>
    <mergeCell ref="K9:O9"/>
    <mergeCell ref="V6:AM7"/>
    <mergeCell ref="X10:AC10"/>
    <mergeCell ref="AD10:AH10"/>
    <mergeCell ref="Y27:AB27"/>
    <mergeCell ref="AC27:AF27"/>
    <mergeCell ref="V46:AA46"/>
    <mergeCell ref="X18:AC18"/>
    <mergeCell ref="AD18:AH18"/>
    <mergeCell ref="G105:O106"/>
    <mergeCell ref="Q105:Y106"/>
    <mergeCell ref="D107:E107"/>
    <mergeCell ref="G107:I107"/>
    <mergeCell ref="J107:L107"/>
    <mergeCell ref="M107:O107"/>
    <mergeCell ref="Q107:S107"/>
    <mergeCell ref="T107:V107"/>
    <mergeCell ref="W107:Y10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RPS12, RESC6-IPs upon RNAi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Zachary Goodall</cp:lastModifiedBy>
  <dcterms:created xsi:type="dcterms:W3CDTF">2019-11-13T18:01:50Z</dcterms:created>
  <dcterms:modified xsi:type="dcterms:W3CDTF">2020-08-05T21:57:30Z</dcterms:modified>
</cp:coreProperties>
</file>